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tPg20SAIF10tDiGk2X4OQQ1SiqRPsQ7sx4eIvub2u3rnS9o5RaWkRSugyrorwL8UokFmmacw1xiIm7vOOxlKeg==" workbookSaltValue="7Kdm+LASmKzi/1AkeSoZPA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S279" i="83"/>
  <c r="U194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K214" i="83" l="1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334" i="83" l="1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P278" i="83" l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<sst xmlns="http://schemas.openxmlformats.org/spreadsheetml/2006/main" count="65785" uniqueCount="755">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</sst>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27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0.68777556065564271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2.6778439038021178E-2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5.4008114482973467E-6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4.7071013037151236E-4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0.28494383484959651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2.6054514919959327E-5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7.6000000000000012E-2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6.7000000000000018E-2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1.4999528170104479E-2</v>
      </c>
      <c r="AB3">
        <f>SUMIFS(PERSALDATA!$G$2:$G$20871,PERSALDATA!$A$2:$A$20871,WORKING!A3,PERSALDATA!$D$2:$D$20871,WORKING!B3,PERSALDATA!$E$2:$E$20871,WORKING!C3,PERSALDATA!$F$2:$F$20871,"S&amp;W: BASIC SALARY (RES)")</f>
        <v>1</v>
      </c>
      <c r="AC3" s="2">
        <f>SUMIFS(PERSALDATA!$H$2:$H$20871,PERSALDATA!$A$2:$A$20871,WORKING!A3,PERSALDATA!$D$2:$D$20871,WORKING!B3,PERSALDATA!$E$2:$E$20871,WORKING!C3)</f>
        <v>8635739.3599999994</v>
      </c>
    </row>
    <row r="4" spans="1:29" x14ac:dyDescent="0.25">
      <c r="A4" s="2">
        <f>Results!$D$3</f>
        <v>27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27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27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0.66684290997246387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5.0152947139910496E-2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6.226491988177682E-2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1.5573702487375173E-2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6.9989426891069753E-2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8.1885212488998785E-2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3.6653099989874989E-2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4.0451491386204753E-4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1.4082208209036344E-2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2.151058025631823E-3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7.2247718065459932E-2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7.0427192204548281E-2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6.942719220454828E-2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6.7427192204548278E-2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1.3010117074699372E-2</v>
      </c>
      <c r="AB6" s="2">
        <f>SUMIFS(PERSALDATA!$G$2:$G$20871,PERSALDATA!$A$2:$A$20871,WORKING!A6,PERSALDATA!$D$2:$D$20871,WORKING!B6,PERSALDATA!$E$2:$E$20871,WORKING!C6,PERSALDATA!$F$2:$F$20871,"S&amp;W: BASIC SALARY (RES)")</f>
        <v>56</v>
      </c>
      <c r="AC6" s="2">
        <f>SUMIFS(PERSALDATA!$H$2:$H$20871,PERSALDATA!$A$2:$A$20871,WORKING!A6,PERSALDATA!$D$2:$D$20871,WORKING!B6,PERSALDATA!$E$2:$E$20871,WORKING!C6)</f>
        <v>8258261.6499999994</v>
      </c>
    </row>
    <row r="7" spans="1:29" x14ac:dyDescent="0.25">
      <c r="A7" s="2">
        <f>Results!$D$3</f>
        <v>27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0.66346298935752768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0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1.0025014918475326E-3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6.8083925303502449E-2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3.3862272613516655E-3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2.4187130715696116E-3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7.6349678201198205E-3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3.5711330920702104E-4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0.23737316650483231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1.6280395880041893E-2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7.5971217068278515E-2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7.0040768394001807E-2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6.9040768394001806E-2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6.7040768394001804E-2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1.4928812369063908E-2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1795508.55</v>
      </c>
    </row>
    <row r="8" spans="1:29" x14ac:dyDescent="0.25">
      <c r="A8" s="2">
        <f>Results!$D$3</f>
        <v>27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0.69375839215529633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4.7733281023586559E-2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4.0069457738676581E-2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3.8126857472370046E-2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4.4638206028977077E-2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8.4526382177333451E-2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2.8507511334141679E-2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2.9562968074786015E-4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1.719377597051178E-2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4.8738452525977144E-3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2.7666116576098056E-4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7.3579656096266266E-2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7.0268878513047903E-2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6.9268878513047902E-2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6.7268878513047914E-2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1.3724950598273979E-2</v>
      </c>
      <c r="AB8" s="2">
        <f>SUMIFS(PERSALDATA!$G$2:$G$20871,PERSALDATA!$A$2:$A$20871,WORKING!A8,PERSALDATA!$D$2:$D$20871,WORKING!B8,PERSALDATA!$E$2:$E$20871,WORKING!C8,PERSALDATA!$F$2:$F$20871,"S&amp;W: BASIC SALARY (RES)")</f>
        <v>145</v>
      </c>
      <c r="AC8" s="2">
        <f>SUMIFS(PERSALDATA!$H$2:$H$20871,PERSALDATA!$A$2:$A$20871,WORKING!A8,PERSALDATA!$D$2:$D$20871,WORKING!B8,PERSALDATA!$E$2:$E$20871,WORKING!C8)</f>
        <v>32104252.779999997</v>
      </c>
    </row>
    <row r="9" spans="1:29" x14ac:dyDescent="0.25">
      <c r="A9" s="2">
        <f>Results!$D$3</f>
        <v>27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0.70752947861861748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5.7120638251107102E-2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3.7084121380332402E-2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1.8799950355560185E-2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4.5080107507424999E-2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8.5252691081974849E-2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2.470846943312191E-2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2.4288403953172838E-4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2.2022693321668421E-2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7.2467120719815206E-4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1.4342948034630303E-3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7.3812728280198706E-2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7.0305360398808081E-2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6.930536039880808E-2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6.7305360398808051E-2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1.3763893306090668E-2</v>
      </c>
      <c r="AB9" s="2">
        <f>SUMIFS(PERSALDATA!$G$2:$G$20871,PERSALDATA!$A$2:$A$20871,WORKING!A9,PERSALDATA!$D$2:$D$20871,WORKING!B9,PERSALDATA!$E$2:$E$20871,WORKING!C9,PERSALDATA!$F$2:$F$20871,"S&amp;W: BASIC SALARY (RES)")</f>
        <v>91</v>
      </c>
      <c r="AC9" s="2">
        <f>SUMIFS(PERSALDATA!$H$2:$H$20871,PERSALDATA!$A$2:$A$20871,WORKING!A9,PERSALDATA!$D$2:$D$20871,WORKING!B9,PERSALDATA!$E$2:$E$20871,WORKING!C9)</f>
        <v>24770709.559999995</v>
      </c>
    </row>
    <row r="10" spans="1:29" x14ac:dyDescent="0.25">
      <c r="A10" s="2">
        <f>Results!$D$3</f>
        <v>27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0.71479804642313449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5.8519077941479647E-2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3.387043987982629E-2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2.8030260165329914E-2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3.8701124655741138E-2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9.0749067224188185E-2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2.9477297045453096E-2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1.9635103178181876E-4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5.6583356330653801E-3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7.3967662314313579E-2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7.0241812471037862E-2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6.9241812471037847E-2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6.7241812471037846E-2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1.3908481266489759E-2</v>
      </c>
      <c r="AB10" s="2">
        <f>SUMIFS(PERSALDATA!$G$2:$G$20871,PERSALDATA!$A$2:$A$20871,WORKING!A10,PERSALDATA!$D$2:$D$20871,WORKING!B10,PERSALDATA!$E$2:$E$20871,WORKING!C10,PERSALDATA!$F$2:$F$20871,"S&amp;W: BASIC SALARY (RES)")</f>
        <v>84</v>
      </c>
      <c r="AC10" s="2">
        <f>SUMIFS(PERSALDATA!$H$2:$H$20871,PERSALDATA!$A$2:$A$20871,WORKING!A10,PERSALDATA!$D$2:$D$20871,WORKING!B10,PERSALDATA!$E$2:$E$20871,WORKING!C10)</f>
        <v>29840179.329999998</v>
      </c>
    </row>
    <row r="11" spans="1:29" x14ac:dyDescent="0.25">
      <c r="A11" s="2">
        <f>Results!$D$3</f>
        <v>27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0.72947853985127142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5.7713954589393886E-2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2.7157693265485332E-2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1.3135991518114225E-2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3.8981567984341048E-2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9.336785211110997E-2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2.227934150927801E-2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1.6834652281967472E-4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4.7578174259852741E-3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1.2958895222200994E-2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7.4481757263603884E-2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7.0313146587110256E-2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6.9313146587110269E-2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6.7313146587110254E-2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1.4005385883410305E-2</v>
      </c>
      <c r="AB11" s="2">
        <f>SUMIFS(PERSALDATA!$G$2:$G$20871,PERSALDATA!$A$2:$A$20871,WORKING!A11,PERSALDATA!$D$2:$D$20871,WORKING!B11,PERSALDATA!$E$2:$E$20871,WORKING!C11,PERSALDATA!$F$2:$F$20871,"S&amp;W: BASIC SALARY (RES)")</f>
        <v>66</v>
      </c>
      <c r="AC11" s="2">
        <f>SUMIFS(PERSALDATA!$H$2:$H$20871,PERSALDATA!$A$2:$A$20871,WORKING!A11,PERSALDATA!$D$2:$D$20871,WORKING!B11,PERSALDATA!$E$2:$E$20871,WORKING!C11)</f>
        <v>25661236.880000006</v>
      </c>
    </row>
    <row r="12" spans="1:29" x14ac:dyDescent="0.25">
      <c r="A12" s="2">
        <f>Results!$D$3</f>
        <v>27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0.7491624430973236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5.9561935725840148E-2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2.0498828351655698E-2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5.7264761401019434E-3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3.2218829711407874E-2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9.7399479329553604E-2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1.9176929888579539E-2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1.3241930182208669E-4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1.4048134726996024E-2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1.0471945618686122E-3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5.6917467713233749E-4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4.5815448771868624E-4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7.4893152661233892E-2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7.0278294162154586E-2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6.9278294162154572E-2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6.7278294162154584E-2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1.4207248839526721E-2</v>
      </c>
      <c r="AB12" s="2">
        <f>SUMIFS(PERSALDATA!$G$2:$G$20871,PERSALDATA!$A$2:$A$20871,WORKING!A12,PERSALDATA!$D$2:$D$20871,WORKING!B12,PERSALDATA!$E$2:$E$20871,WORKING!C12,PERSALDATA!$F$2:$F$20871,"S&amp;W: BASIC SALARY (RES)")</f>
        <v>113</v>
      </c>
      <c r="AC12" s="2">
        <f>SUMIFS(PERSALDATA!$H$2:$H$20871,PERSALDATA!$A$2:$A$20871,WORKING!A12,PERSALDATA!$D$2:$D$20871,WORKING!B12,PERSALDATA!$E$2:$E$20871,WORKING!C12)</f>
        <v>58159421.579999991</v>
      </c>
    </row>
    <row r="13" spans="1:29" x14ac:dyDescent="0.25">
      <c r="A13" s="2">
        <f>Results!$D$3</f>
        <v>27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0.68449476747955518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5.3718357924413977E-2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1.326010277941158E-2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4.1627314247449591E-3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2.4102260036856137E-2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8.8983988584128371E-2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2.0290884722577285E-2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1.1026962457475469E-4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8.186208946500402E-2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2.9014547958733847E-2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1.4437910513387364E-2</v>
      </c>
      <c r="AB13" s="2">
        <f>SUMIFS(PERSALDATA!$G$2:$G$20871,PERSALDATA!$A$2:$A$20871,WORKING!A13,PERSALDATA!$D$2:$D$20871,WORKING!B13,PERSALDATA!$E$2:$E$20871,WORKING!C13,PERSALDATA!$F$2:$F$20871,"S&amp;W: BASIC SALARY (RES)")</f>
        <v>31</v>
      </c>
      <c r="AC13" s="2">
        <f>SUMIFS(PERSALDATA!$H$2:$H$20871,PERSALDATA!$A$2:$A$20871,WORKING!A13,PERSALDATA!$D$2:$D$20871,WORKING!B13,PERSALDATA!$E$2:$E$20871,WORKING!C13)</f>
        <v>18927605.929999992</v>
      </c>
    </row>
    <row r="14" spans="1:29" x14ac:dyDescent="0.25">
      <c r="A14" s="2">
        <f>Results!$D$3</f>
        <v>27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0.70989078969840036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5.1313275215320732E-2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6.5431228486123334E-3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4.7096755825332386E-3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1.394987422558396E-2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8.7927125673374171E-2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1.9522982532394564E-2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9.4564971966465468E-5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2.2347898233282225E-3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0.10140587586543139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2.2421340629920992E-3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1.6578950006240282E-4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1.4691186569307556E-2</v>
      </c>
      <c r="AB14" s="2">
        <f>SUMIFS(PERSALDATA!$G$2:$G$20871,PERSALDATA!$A$2:$A$20871,WORKING!A14,PERSALDATA!$D$2:$D$20871,WORKING!B14,PERSALDATA!$E$2:$E$20871,WORKING!C14,PERSALDATA!$F$2:$F$20871,"S&amp;W: BASIC SALARY (RES)")</f>
        <v>73</v>
      </c>
      <c r="AC14" s="2">
        <f>SUMIFS(PERSALDATA!$H$2:$H$20871,PERSALDATA!$A$2:$A$20871,WORKING!A14,PERSALDATA!$D$2:$D$20871,WORKING!B14,PERSALDATA!$E$2:$E$20871,WORKING!C14)</f>
        <v>53573959.729999997</v>
      </c>
    </row>
    <row r="15" spans="1:29" x14ac:dyDescent="0.25">
      <c r="A15" s="2">
        <f>Results!$D$3</f>
        <v>27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0.63065212438908236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4.0932517749035148E-2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2.1320903581968975E-2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1.4347717804848932E-2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8.1984571102400122E-2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2.3705113429698575E-2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7.4034463105542646E-5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3.115479226752414E-4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0.17440574816818627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1.1891625744345007E-2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3.7409564465398185E-4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1.4463860162251149E-2</v>
      </c>
      <c r="AB15" s="2">
        <f>SUMIFS(PERSALDATA!$G$2:$G$20871,PERSALDATA!$A$2:$A$20871,WORKING!A15,PERSALDATA!$D$2:$D$20871,WORKING!B15,PERSALDATA!$E$2:$E$20871,WORKING!C15,PERSALDATA!$F$2:$F$20871,"S&amp;W: BASIC SALARY (RES)")</f>
        <v>49</v>
      </c>
      <c r="AC15" s="2">
        <f>SUMIFS(PERSALDATA!$H$2:$H$20871,PERSALDATA!$A$2:$A$20871,WORKING!A15,PERSALDATA!$D$2:$D$20871,WORKING!B15,PERSALDATA!$E$2:$E$20871,WORKING!C15)</f>
        <v>47485182.610000007</v>
      </c>
    </row>
    <row r="16" spans="1:29" x14ac:dyDescent="0.25">
      <c r="A16" s="2">
        <f>Results!$D$3</f>
        <v>27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0.59359951790320409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3.5743327482006697E-2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5.4266325838836669E-3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1.7640429130966785E-2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7.2624690722606938E-2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2.0543591760540089E-2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6.0150397913979902E-5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0.2477129033488375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5.7136377008249776E-3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9.3511896921526249E-4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1.4653091818308532E-2</v>
      </c>
      <c r="AB16" s="2">
        <f>SUMIFS(PERSALDATA!$G$2:$G$20871,PERSALDATA!$A$2:$A$20871,WORKING!A16,PERSALDATA!$D$2:$D$20871,WORKING!B16,PERSALDATA!$E$2:$E$20871,WORKING!C16,PERSALDATA!$F$2:$F$20871,"S&amp;W: BASIC SALARY (RES)")</f>
        <v>16</v>
      </c>
      <c r="AC16" s="2">
        <f>SUMIFS(PERSALDATA!$H$2:$H$20871,PERSALDATA!$A$2:$A$20871,WORKING!A16,PERSALDATA!$D$2:$D$20871,WORKING!B16,PERSALDATA!$E$2:$E$20871,WORKING!C16)</f>
        <v>18997048.059999999</v>
      </c>
    </row>
    <row r="17" spans="1:29" x14ac:dyDescent="0.25">
      <c r="A17" s="2">
        <f>Results!$D$3</f>
        <v>27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0.63404284049829807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3.5812467374647987E-2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1.0774448955698826E-2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5.3081666762876826E-3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6.2379464544568074E-2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1.1093882437292528E-2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5.1159954047991646E-5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0.2352754475365279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4.4904831287063459E-3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7.7163889392450403E-4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1.4757993366209483E-2</v>
      </c>
      <c r="AB17" s="2">
        <f>SUMIFS(PERSALDATA!$G$2:$G$20871,PERSALDATA!$A$2:$A$20871,WORKING!A17,PERSALDATA!$D$2:$D$20871,WORKING!B17,PERSALDATA!$E$2:$E$20871,WORKING!C17,PERSALDATA!$F$2:$F$20871,"S&amp;W: BASIC SALARY (RES)")</f>
        <v>9</v>
      </c>
      <c r="AC17" s="2">
        <f>SUMIFS(PERSALDATA!$H$2:$H$20871,PERSALDATA!$A$2:$A$20871,WORKING!A17,PERSALDATA!$D$2:$D$20871,WORKING!B17,PERSALDATA!$E$2:$E$20871,WORKING!C17)</f>
        <v>11510565.460000001</v>
      </c>
    </row>
    <row r="18" spans="1:29" x14ac:dyDescent="0.25">
      <c r="A18" s="2">
        <f>Results!$D$3</f>
        <v>27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0.58293138139650402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4.5199147141617574E-2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8.3858478582843534E-3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0.11344963804642051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1.097920681511319E-5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0.25002300635035851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1.4874047594023509E-2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6372045.0099999998</v>
      </c>
    </row>
    <row r="19" spans="1:29" x14ac:dyDescent="0.25">
      <c r="A19" s="2">
        <f>Results!$D$3</f>
        <v>27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27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27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27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27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0.63101049334311266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5.2778739845490523E-2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5.8746107619468066E-2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0.14364969263160454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8.2030436564484346E-2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3.1424014409080374E-2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3.6051558675947244E-4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7.3546391517762905E-2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7.1567284313279397E-2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7.0567284313279383E-2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6.8567284313279381E-2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1.1958655262432517E-2</v>
      </c>
      <c r="AB23" s="2">
        <f>SUMIFS(PERSALDATA!$G$2:$G$20871,PERSALDATA!$A$2:$A$20871,WORKING!A23,PERSALDATA!$D$2:$D$20871,WORKING!B23,PERSALDATA!$E$2:$E$20871,WORKING!C23,PERSALDATA!$F$2:$F$20871,"S&amp;W: BASIC SALARY (RES)")</f>
        <v>1</v>
      </c>
      <c r="AC23" s="2">
        <f>SUMIFS(PERSALDATA!$H$2:$H$20871,PERSALDATA!$A$2:$A$20871,WORKING!A23,PERSALDATA!$D$2:$D$20871,WORKING!B23,PERSALDATA!$E$2:$E$20871,WORKING!C23)</f>
        <v>194055.41</v>
      </c>
    </row>
    <row r="24" spans="1:29" x14ac:dyDescent="0.25">
      <c r="A24" s="2">
        <f>Results!$D$3</f>
        <v>27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0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1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0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0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0.06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5.8999999999999997E-2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5.7000000000000002E-2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900</v>
      </c>
    </row>
    <row r="25" spans="1:29" x14ac:dyDescent="0.25">
      <c r="A25" s="2">
        <f>Results!$D$3</f>
        <v>27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0.71950395912066734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4.8990553216577387E-2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5.1159218145037801E-2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5.9764716647037669E-2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9.2190345939229035E-2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2.4252288658737089E-2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3.126442506012296E-4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3.8262740221122879E-3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7.2948605454035642E-2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7.0384878568255177E-2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6.938487856825519E-2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6.7384878568255188E-2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1.3331451314359845E-2</v>
      </c>
      <c r="AB25" s="2">
        <f>SUMIFS(PERSALDATA!$G$2:$G$20871,PERSALDATA!$A$2:$A$20871,WORKING!A25,PERSALDATA!$D$2:$D$20871,WORKING!B25,PERSALDATA!$E$2:$E$20871,WORKING!C25,PERSALDATA!$F$2:$F$20871,"S&amp;W: BASIC SALARY (RES)")</f>
        <v>10</v>
      </c>
      <c r="AC25" s="2">
        <f>SUMIFS(PERSALDATA!$H$2:$H$20871,PERSALDATA!$A$2:$A$20871,WORKING!A25,PERSALDATA!$D$2:$D$20871,WORKING!B25,PERSALDATA!$E$2:$E$20871,WORKING!C25)</f>
        <v>2181425.0500000003</v>
      </c>
    </row>
    <row r="26" spans="1:29" x14ac:dyDescent="0.25">
      <c r="A26" s="2">
        <f>Results!$D$3</f>
        <v>27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0.74375621070751941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4.202967518963633E-2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3.1055824957575601E-2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3.8920738769348418E-3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5.3145456815657216E-2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9.0268724694012051E-2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1.7227466026731243E-2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2.5602495290572366E-4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1.8269467377858305E-2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9.9075401169369977E-5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7.4383793698643466E-2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7.0486623602659129E-2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6.9486623602659114E-2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6.7486623602659113E-2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1.3733140399107922E-2</v>
      </c>
      <c r="AB26" s="2">
        <f>SUMIFS(PERSALDATA!$G$2:$G$20871,PERSALDATA!$A$2:$A$20871,WORKING!A26,PERSALDATA!$D$2:$D$20871,WORKING!B26,PERSALDATA!$E$2:$E$20871,WORKING!C26,PERSALDATA!$F$2:$F$20871,"S&amp;W: BASIC SALARY (RES)")</f>
        <v>18</v>
      </c>
      <c r="AC26" s="2">
        <f>SUMIFS(PERSALDATA!$H$2:$H$20871,PERSALDATA!$A$2:$A$20871,WORKING!A26,PERSALDATA!$D$2:$D$20871,WORKING!B26,PERSALDATA!$E$2:$E$20871,WORKING!C26)</f>
        <v>3825369.32</v>
      </c>
    </row>
    <row r="27" spans="1:29" x14ac:dyDescent="0.25">
      <c r="A27" s="2">
        <f>Results!$D$3</f>
        <v>27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0.73784661309571176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5.3024617539519731E-2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3.4891843426807033E-2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5.4560504795547887E-2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9.5919581554958513E-2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2.3550908789077021E-2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2.0593079837801691E-4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7.4112066966700335E-2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7.0469489137665167E-2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6.9469489137665152E-2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6.7469489137665151E-2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1.3655125814689004E-2</v>
      </c>
      <c r="AB27" s="2">
        <f>SUMIFS(PERSALDATA!$G$2:$G$20871,PERSALDATA!$A$2:$A$20871,WORKING!A27,PERSALDATA!$D$2:$D$20871,WORKING!B27,PERSALDATA!$E$2:$E$20871,WORKING!C27,PERSALDATA!$F$2:$F$20871,"S&amp;W: BASIC SALARY (RES)")</f>
        <v>4</v>
      </c>
      <c r="AC27" s="2">
        <f>SUMIFS(PERSALDATA!$H$2:$H$20871,PERSALDATA!$A$2:$A$20871,WORKING!A27,PERSALDATA!$D$2:$D$20871,WORKING!B27,PERSALDATA!$E$2:$E$20871,WORKING!C27)</f>
        <v>1160729.73</v>
      </c>
    </row>
    <row r="28" spans="1:29" x14ac:dyDescent="0.25">
      <c r="A28" s="2">
        <f>Results!$D$3</f>
        <v>27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0.75591388528974068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6.1895865032696423E-2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2.5220387127063915E-2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7.9362234038245633E-3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3.3790878541264405E-2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9.8268372329225709E-2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1.2319360918705556E-2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1.6810944705226188E-4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9.7720119699370197E-4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4.2121180767374093E-4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3.0885049057591692E-3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7.4556322877920869E-2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7.0254659306848335E-2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6.9254659306848348E-2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6.7254659306848333E-2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1.4112309373269292E-2</v>
      </c>
      <c r="AB28" s="2">
        <f>SUMIFS(PERSALDATA!$G$2:$G$20871,PERSALDATA!$A$2:$A$20871,WORKING!A28,PERSALDATA!$D$2:$D$20871,WORKING!B28,PERSALDATA!$E$2:$E$20871,WORKING!C28,PERSALDATA!$F$2:$F$20871,"S&amp;W: BASIC SALARY (RES)")</f>
        <v>35</v>
      </c>
      <c r="AC28" s="2">
        <f>SUMIFS(PERSALDATA!$H$2:$H$20871,PERSALDATA!$A$2:$A$20871,WORKING!A28,PERSALDATA!$D$2:$D$20871,WORKING!B28,PERSALDATA!$E$2:$E$20871,WORKING!C28)</f>
        <v>14357432.269999998</v>
      </c>
    </row>
    <row r="29" spans="1:29" x14ac:dyDescent="0.25">
      <c r="A29" s="2">
        <f>Results!$D$3</f>
        <v>27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0.75679234099694259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5.8721785801029533E-2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1.9441117739256233E-2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4.6364563892130144E-4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3.292149936692091E-2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9.8382622869443159E-2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1.6830370038051511E-2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1.3031701137750811E-4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7.7966851352089944E-3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8.5196154028481345E-3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7.4983376042953409E-2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7.0299411313111265E-2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6.9299411313111237E-2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6.7299411313111221E-2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1.421260598823668E-2</v>
      </c>
      <c r="AB29" s="2">
        <f>SUMIFS(PERSALDATA!$G$2:$G$20871,PERSALDATA!$A$2:$A$20871,WORKING!A29,PERSALDATA!$D$2:$D$20871,WORKING!B29,PERSALDATA!$E$2:$E$20871,WORKING!C29,PERSALDATA!$F$2:$F$20871,"S&amp;W: BASIC SALARY (RES)")</f>
        <v>45</v>
      </c>
      <c r="AC29" s="2">
        <f>SUMIFS(PERSALDATA!$H$2:$H$20871,PERSALDATA!$A$2:$A$20871,WORKING!A29,PERSALDATA!$D$2:$D$20871,WORKING!B29,PERSALDATA!$E$2:$E$20871,WORKING!C29)</f>
        <v>24381314.200000003</v>
      </c>
    </row>
    <row r="30" spans="1:29" x14ac:dyDescent="0.25">
      <c r="A30" s="2">
        <f>Results!$D$3</f>
        <v>27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0.68374060941770398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5.5381712437280815E-2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2.7070623742068856E-2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2.9864675828425615E-4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2.3352358102332875E-2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8.8886018357124258E-2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1.6014731854666481E-2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1.0537943925753056E-4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4.5401233067722483E-3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9.6258225448486875E-2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2.7049768456790515E-3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1.6465942903425115E-3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1.4242074580745105E-2</v>
      </c>
      <c r="AB30" s="2">
        <f>SUMIFS(PERSALDATA!$G$2:$G$20871,PERSALDATA!$A$2:$A$20871,WORKING!A30,PERSALDATA!$D$2:$D$20871,WORKING!B30,PERSALDATA!$E$2:$E$20871,WORKING!C30,PERSALDATA!$F$2:$F$20871,"S&amp;W: BASIC SALARY (RES)")</f>
        <v>17</v>
      </c>
      <c r="AC30" s="2">
        <f>SUMIFS(PERSALDATA!$H$2:$H$20871,PERSALDATA!$A$2:$A$20871,WORKING!A30,PERSALDATA!$D$2:$D$20871,WORKING!B30,PERSALDATA!$E$2:$E$20871,WORKING!C30)</f>
        <v>10788632.090000002</v>
      </c>
    </row>
    <row r="31" spans="1:29" x14ac:dyDescent="0.25">
      <c r="A31" s="2">
        <f>Results!$D$3</f>
        <v>27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0.68761082700605392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3.8587146145762016E-2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7.926937279735969E-3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1.8255216016951414E-2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8.2555787132698635E-2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2.3309256415820802E-2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8.1244959027366266E-5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7.9609854017539446E-3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0.13177082790679007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1.9417717354058505E-3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1.4606049026164278E-2</v>
      </c>
      <c r="AB31" s="2">
        <f>SUMIFS(PERSALDATA!$G$2:$G$20871,PERSALDATA!$A$2:$A$20871,WORKING!A31,PERSALDATA!$D$2:$D$20871,WORKING!B31,PERSALDATA!$E$2:$E$20871,WORKING!C31,PERSALDATA!$F$2:$F$20871,"S&amp;W: BASIC SALARY (RES)")</f>
        <v>14</v>
      </c>
      <c r="AC31" s="2">
        <f>SUMIFS(PERSALDATA!$H$2:$H$20871,PERSALDATA!$A$2:$A$20871,WORKING!A31,PERSALDATA!$D$2:$D$20871,WORKING!B31,PERSALDATA!$E$2:$E$20871,WORKING!C31)</f>
        <v>9759128.5600000005</v>
      </c>
    </row>
    <row r="32" spans="1:29" x14ac:dyDescent="0.25">
      <c r="A32" s="2">
        <f>Results!$D$3</f>
        <v>27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0.67024241957186448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4.7655375025374994E-2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8.9873035568348476E-3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1.9336540982737294E-2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8.7131278682215887E-2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2.2138756103168511E-2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7.5210944626935531E-5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2.7465037058231899E-4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0.14332369659083696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8.3476817175777071E-4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1.4574014167737013E-2</v>
      </c>
      <c r="AB32" s="2">
        <f>SUMIFS(PERSALDATA!$G$2:$G$20871,PERSALDATA!$A$2:$A$20871,WORKING!A32,PERSALDATA!$D$2:$D$20871,WORKING!B32,PERSALDATA!$E$2:$E$20871,WORKING!C32,PERSALDATA!$F$2:$F$20871,"S&amp;W: BASIC SALARY (RES)")</f>
        <v>18</v>
      </c>
      <c r="AC32" s="2">
        <f>SUMIFS(PERSALDATA!$H$2:$H$20871,PERSALDATA!$A$2:$A$20871,WORKING!A32,PERSALDATA!$D$2:$D$20871,WORKING!B32,PERSALDATA!$E$2:$E$20871,WORKING!C32)</f>
        <v>15890639.400000002</v>
      </c>
    </row>
    <row r="33" spans="1:29" x14ac:dyDescent="0.25">
      <c r="A33" s="2">
        <f>Results!$D$3</f>
        <v>27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0.61699273629521578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3.814365978388274E-2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3.5812051976681128E-3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1.3375801413290402E-2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8.0208900413445985E-2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1.9761851286837148E-2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6.2635278907215288E-5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0.22787321033075275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1.4744705371652017E-2</v>
      </c>
      <c r="AB33" s="2">
        <f>SUMIFS(PERSALDATA!$G$2:$G$20871,PERSALDATA!$A$2:$A$20871,WORKING!A33,PERSALDATA!$D$2:$D$20871,WORKING!B33,PERSALDATA!$E$2:$E$20871,WORKING!C33,PERSALDATA!$F$2:$F$20871,"S&amp;W: BASIC SALARY (RES)")</f>
        <v>6</v>
      </c>
      <c r="AC33" s="2">
        <f>SUMIFS(PERSALDATA!$H$2:$H$20871,PERSALDATA!$A$2:$A$20871,WORKING!A33,PERSALDATA!$D$2:$D$20871,WORKING!B33,PERSALDATA!$E$2:$E$20871,WORKING!C33)</f>
        <v>6701654.5199999996</v>
      </c>
    </row>
    <row r="34" spans="1:29" x14ac:dyDescent="0.25">
      <c r="A34" s="2">
        <f>Results!$D$3</f>
        <v>27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0.58264542793759899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1.1795172058261675E-2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1.8944081990594171E-2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7.5743774507094491E-2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1.8136877762562165E-2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4.8281529182585359E-5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0.29268638421470605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1.471511454720335E-2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1449001.3299999998</v>
      </c>
    </row>
    <row r="35" spans="1:29" x14ac:dyDescent="0.25">
      <c r="A35" s="2">
        <f>Results!$D$3</f>
        <v>27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27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27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27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27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27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0.54143683324987146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4.4900908524997271E-2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4.4754338067825139E-2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0.13557433122697538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6.6472126520871755E-2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7.0194956460593053E-2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4.9901982032386397E-2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3.1310134912250471E-4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4.645142256735707E-2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7.3529280078137485E-2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7.054953851713483E-2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6.9549538517134815E-2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6.7549538517134827E-2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1.3326906510932709E-2</v>
      </c>
      <c r="AB40" s="2">
        <f>SUMIFS(PERSALDATA!$G$2:$G$20871,PERSALDATA!$A$2:$A$20871,WORKING!A40,PERSALDATA!$D$2:$D$20871,WORKING!B40,PERSALDATA!$E$2:$E$20871,WORKING!C40,PERSALDATA!$F$2:$F$20871,"S&amp;W: BASIC SALARY (RES)")</f>
        <v>3</v>
      </c>
      <c r="AC40" s="2">
        <f>SUMIFS(PERSALDATA!$H$2:$H$20871,PERSALDATA!$A$2:$A$20871,WORKING!A40,PERSALDATA!$D$2:$D$20871,WORKING!B40,PERSALDATA!$E$2:$E$20871,WORKING!C40)</f>
        <v>670326.07999999996</v>
      </c>
    </row>
    <row r="41" spans="1:29" x14ac:dyDescent="0.25">
      <c r="A41" s="2">
        <f>Results!$D$3</f>
        <v>27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0.57796490596952077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3.4617322465533805E-2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3.1608475881437628E-2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2.8532690858357065E-3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2.263703347242867E-2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5.4123840887224203E-2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1.9305529113126867E-2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2.874051417072737E-4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0.25660221798318511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7.3914674301624739E-2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7.0023470743272059E-2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6.9023470743272058E-2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6.7023470743272057E-2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1.4182006282566394E-2</v>
      </c>
      <c r="AB41" s="2">
        <f>SUMIFS(PERSALDATA!$G$2:$G$20871,PERSALDATA!$A$2:$A$20871,WORKING!A41,PERSALDATA!$D$2:$D$20871,WORKING!B41,PERSALDATA!$E$2:$E$20871,WORKING!C41,PERSALDATA!$F$2:$F$20871,"S&amp;W: BASIC SALARY (RES)")</f>
        <v>5</v>
      </c>
      <c r="AC41" s="2">
        <f>SUMIFS(PERSALDATA!$H$2:$H$20871,PERSALDATA!$A$2:$A$20871,WORKING!A41,PERSALDATA!$D$2:$D$20871,WORKING!B41,PERSALDATA!$E$2:$E$20871,WORKING!C41)</f>
        <v>1034532.64</v>
      </c>
    </row>
    <row r="42" spans="1:29" x14ac:dyDescent="0.25">
      <c r="A42" s="2">
        <f>Results!$D$3</f>
        <v>27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0.68939652996652367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2.7411636546123292E-2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2.3941394990177417E-2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9.941631221733303E-3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3.8612782207969452E-2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4.3781353619055205E-2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1.8226158054822854E-2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3.0465180325461015E-4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0.1483838615903402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7.4721032931658077E-2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7.0339777783217775E-2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6.9339777783217774E-2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6.7339777783217786E-2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1.4057117564978978E-2</v>
      </c>
      <c r="AB42" s="2">
        <f>SUMIFS(PERSALDATA!$G$2:$G$20871,PERSALDATA!$A$2:$A$20871,WORKING!A42,PERSALDATA!$D$2:$D$20871,WORKING!B42,PERSALDATA!$E$2:$E$20871,WORKING!C42,PERSALDATA!$F$2:$F$20871,"S&amp;W: BASIC SALARY (RES)")</f>
        <v>44</v>
      </c>
      <c r="AC42" s="2">
        <f>SUMIFS(PERSALDATA!$H$2:$H$20871,PERSALDATA!$A$2:$A$20871,WORKING!A42,PERSALDATA!$D$2:$D$20871,WORKING!B42,PERSALDATA!$E$2:$E$20871,WORKING!C42)</f>
        <v>8169950</v>
      </c>
    </row>
    <row r="43" spans="1:29" x14ac:dyDescent="0.25">
      <c r="A43" s="2">
        <f>Results!$D$3</f>
        <v>27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0.66834346875992579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4.4197976029403174E-2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2.044215399507425E-2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7.437225426584794E-2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4.228641432694849E-2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7.6404303765887499E-2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2.2649128902488019E-2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2.1446022579985242E-4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5.017972839136059E-2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9.1011133726440847E-4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7.5038406096951643E-2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7.0429874674953499E-2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6.9429874674953498E-2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6.7429874674953483E-2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1.4055854571782661E-2</v>
      </c>
      <c r="AB43" s="2">
        <f>SUMIFS(PERSALDATA!$G$2:$G$20871,PERSALDATA!$A$2:$A$20871,WORKING!A43,PERSALDATA!$D$2:$D$20871,WORKING!B43,PERSALDATA!$E$2:$E$20871,WORKING!C43,PERSALDATA!$F$2:$F$20871,"S&amp;W: BASIC SALARY (RES)")</f>
        <v>31</v>
      </c>
      <c r="AC43" s="2">
        <f>SUMIFS(PERSALDATA!$H$2:$H$20871,PERSALDATA!$A$2:$A$20871,WORKING!A43,PERSALDATA!$D$2:$D$20871,WORKING!B43,PERSALDATA!$E$2:$E$20871,WORKING!C43)</f>
        <v>9759245.5299999993</v>
      </c>
    </row>
    <row r="44" spans="1:29" x14ac:dyDescent="0.25">
      <c r="A44" s="2">
        <f>Results!$D$3</f>
        <v>27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0.67633262558550611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5.4888934407893969E-2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2.0837294557836804E-2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5.0633092175250756E-2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2.9561298146609009E-2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7.4232065865348112E-2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2.0769849951779024E-2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1.7917614641915717E-4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6.9835916109334858E-2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2.7297470540222197E-3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7.4830223787656927E-2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7.0235046526620784E-2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6.9235046526620783E-2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6.7235046526620781E-2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1.4241333467237023E-2</v>
      </c>
      <c r="AB44" s="2">
        <f>SUMIFS(PERSALDATA!$G$2:$G$20871,PERSALDATA!$A$2:$A$20871,WORKING!A44,PERSALDATA!$D$2:$D$20871,WORKING!B44,PERSALDATA!$E$2:$E$20871,WORKING!C44,PERSALDATA!$F$2:$F$20871,"S&amp;W: BASIC SALARY (RES)")</f>
        <v>8</v>
      </c>
      <c r="AC44" s="2">
        <f>SUMIFS(PERSALDATA!$H$2:$H$20871,PERSALDATA!$A$2:$A$20871,WORKING!A44,PERSALDATA!$D$2:$D$20871,WORKING!B44,PERSALDATA!$E$2:$E$20871,WORKING!C44)</f>
        <v>3253781.33</v>
      </c>
    </row>
    <row r="45" spans="1:29" x14ac:dyDescent="0.25">
      <c r="A45" s="2">
        <f>Results!$D$3</f>
        <v>27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0.72859884539774633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3.551033907909034E-2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1.4546410060774621E-2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1.6992386086850889E-2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1.7663405088385556E-2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6.0512899705015201E-2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1.3004165080261219E-2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1.693475653314625E-4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1.0823749762983656E-3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0.11045585681130607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1.4639701489400599E-3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7.5141760506618527E-2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7.0119486975718057E-2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6.9119486975718042E-2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6.7119486975718054E-2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1.4514312559282625E-2</v>
      </c>
      <c r="AB45" s="2">
        <f>SUMIFS(PERSALDATA!$G$2:$G$20871,PERSALDATA!$A$2:$A$20871,WORKING!A45,PERSALDATA!$D$2:$D$20871,WORKING!B45,PERSALDATA!$E$2:$E$20871,WORKING!C45,PERSALDATA!$F$2:$F$20871,"S&amp;W: BASIC SALARY (RES)")</f>
        <v>20</v>
      </c>
      <c r="AC45" s="2">
        <f>SUMIFS(PERSALDATA!$H$2:$H$20871,PERSALDATA!$A$2:$A$20871,WORKING!A45,PERSALDATA!$D$2:$D$20871,WORKING!B45,PERSALDATA!$E$2:$E$20871,WORKING!C45)</f>
        <v>8847543.7899999991</v>
      </c>
    </row>
    <row r="46" spans="1:29" x14ac:dyDescent="0.25">
      <c r="A46" s="2">
        <f>Results!$D$3</f>
        <v>27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0.71050204550221474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4.8559827185331909E-2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1.239491821757731E-2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2.4503229230506216E-2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2.0775275208877102E-2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7.6934616494551744E-2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1.5341672308458369E-2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1.3511763739203569E-4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9.0058504374606094E-2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7.947938404842882E-4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7.5348840068388406E-2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7.0187679945957371E-2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6.9187679945957384E-2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6.7187679945957368E-2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1.4500420334042301E-2</v>
      </c>
      <c r="AB46" s="2">
        <f>SUMIFS(PERSALDATA!$G$2:$G$20871,PERSALDATA!$A$2:$A$20871,WORKING!A46,PERSALDATA!$D$2:$D$20871,WORKING!B46,PERSALDATA!$E$2:$E$20871,WORKING!C46,PERSALDATA!$F$2:$F$20871,"S&amp;W: BASIC SALARY (RES)")</f>
        <v>46</v>
      </c>
      <c r="AC46" s="2">
        <f>SUMIFS(PERSALDATA!$H$2:$H$20871,PERSALDATA!$A$2:$A$20871,WORKING!A46,PERSALDATA!$D$2:$D$20871,WORKING!B46,PERSALDATA!$E$2:$E$20871,WORKING!C46)</f>
        <v>22350450.010000002</v>
      </c>
    </row>
    <row r="47" spans="1:29" x14ac:dyDescent="0.25">
      <c r="A47" s="2">
        <f>Results!$D$3</f>
        <v>27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0.67259482358446643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2.603844650593725E-2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-8.9956185220776885E-5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2.0890501905018129E-2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4.0798128537129679E-3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5.9104488095192455E-2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1.4025482636223342E-2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1.1129379235514517E-4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0.20324510681231522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1.4938482743087296E-2</v>
      </c>
      <c r="AB47" s="2">
        <f>SUMIFS(PERSALDATA!$G$2:$G$20871,PERSALDATA!$A$2:$A$20871,WORKING!A47,PERSALDATA!$D$2:$D$20871,WORKING!B47,PERSALDATA!$E$2:$E$20871,WORKING!C47,PERSALDATA!$F$2:$F$20871,"S&amp;W: BASIC SALARY (RES)")</f>
        <v>15</v>
      </c>
      <c r="AC47" s="2">
        <f>SUMIFS(PERSALDATA!$H$2:$H$20871,PERSALDATA!$A$2:$A$20871,WORKING!A47,PERSALDATA!$D$2:$D$20871,WORKING!B47,PERSALDATA!$E$2:$E$20871,WORKING!C47)</f>
        <v>10004870.68</v>
      </c>
    </row>
    <row r="48" spans="1:29" x14ac:dyDescent="0.25">
      <c r="A48" s="2">
        <f>Results!$D$3</f>
        <v>27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0.69481761019866628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3.85867871500227E-2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4.0496798639161977E-3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1.5651120634637763E-2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1.7581231352628665E-2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7.8790853662878899E-2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1.6862164062102065E-2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9.4503469325694315E-5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0.13268276154159828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8.8328806422336001E-4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1.4674118779711939E-2</v>
      </c>
      <c r="AB48" s="2">
        <f>SUMIFS(PERSALDATA!$G$2:$G$20871,PERSALDATA!$A$2:$A$20871,WORKING!A48,PERSALDATA!$D$2:$D$20871,WORKING!B48,PERSALDATA!$E$2:$E$20871,WORKING!C48,PERSALDATA!$F$2:$F$20871,"S&amp;W: BASIC SALARY (RES)")</f>
        <v>16</v>
      </c>
      <c r="AC48" s="2">
        <f>SUMIFS(PERSALDATA!$H$2:$H$20871,PERSALDATA!$A$2:$A$20871,WORKING!A48,PERSALDATA!$D$2:$D$20871,WORKING!B48,PERSALDATA!$E$2:$E$20871,WORKING!C48)</f>
        <v>10055609.67</v>
      </c>
    </row>
    <row r="49" spans="1:29" x14ac:dyDescent="0.25">
      <c r="A49" s="2">
        <f>Results!$D$3</f>
        <v>27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0.65229777078882845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4.1411220890795901E-2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8.50566841219293E-3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2.998959838007628E-3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1.6743903284392389E-2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8.1069822486446619E-2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2.9868830389306017E-2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7.089892123554832E-5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0.16703292498879457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1.4620192940732687E-2</v>
      </c>
      <c r="AB49" s="2">
        <f>SUMIFS(PERSALDATA!$G$2:$G$20871,PERSALDATA!$A$2:$A$20871,WORKING!A49,PERSALDATA!$D$2:$D$20871,WORKING!B49,PERSALDATA!$E$2:$E$20871,WORKING!C49,PERSALDATA!$F$2:$F$20871,"S&amp;W: BASIC SALARY (RES)")</f>
        <v>15</v>
      </c>
      <c r="AC49" s="2">
        <f>SUMIFS(PERSALDATA!$H$2:$H$20871,PERSALDATA!$A$2:$A$20871,WORKING!A49,PERSALDATA!$D$2:$D$20871,WORKING!B49,PERSALDATA!$E$2:$E$20871,WORKING!C49)</f>
        <v>18255002.719999999</v>
      </c>
    </row>
    <row r="50" spans="1:29" x14ac:dyDescent="0.25">
      <c r="A50" s="2">
        <f>Results!$D$3</f>
        <v>27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0.64778097678699065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2.4264300709851121E-2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3.3856626392229333E-2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7.1216866394649813E-3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1.7854738296399549E-2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8.4211370814715372E-2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8.5532990918321186E-3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6.2917764976634088E-5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0.17629408350354017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1.4223385763195916E-2</v>
      </c>
      <c r="AB50" s="2">
        <f>SUMIFS(PERSALDATA!$G$2:$G$20871,PERSALDATA!$A$2:$A$20871,WORKING!A50,PERSALDATA!$D$2:$D$20871,WORKING!B50,PERSALDATA!$E$2:$E$20871,WORKING!C50,PERSALDATA!$F$2:$F$20871,"S&amp;W: BASIC SALARY (RES)")</f>
        <v>5</v>
      </c>
      <c r="AC50" s="2">
        <f>SUMIFS(PERSALDATA!$H$2:$H$20871,PERSALDATA!$A$2:$A$20871,WORKING!A50,PERSALDATA!$D$2:$D$20871,WORKING!B50,PERSALDATA!$E$2:$E$20871,WORKING!C50)</f>
        <v>4725692.34</v>
      </c>
    </row>
    <row r="51" spans="1:29" x14ac:dyDescent="0.25">
      <c r="A51" s="2">
        <f>Results!$D$3</f>
        <v>27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0.58587511535963221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3.2615551383450292E-2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1.005743567663561E-2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1.2397776294577521E-2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7.616361299336466E-2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4.0221288431593553E-2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4.7907558043701595E-5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0.24262131230270245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1.4662453207061148E-2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2189424.89</v>
      </c>
    </row>
    <row r="52" spans="1:29" x14ac:dyDescent="0.25">
      <c r="A52" s="2">
        <f>Results!$D$3</f>
        <v>27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27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27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27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27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27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0.65302377282473567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5.3812639976117987E-2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7.6414288385147036E-2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9.6944260531289864E-2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8.4892425379890807E-2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3.4516617079453825E-2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3.9599582336480635E-4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7.154973373016689E-2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7.0690021024117894E-2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6.9690021024117893E-2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6.7690021024117877E-2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1.2393681828902972E-2</v>
      </c>
      <c r="AB57" s="2">
        <f>SUMIFS(PERSALDATA!$G$2:$G$20871,PERSALDATA!$A$2:$A$20871,WORKING!A57,PERSALDATA!$D$2:$D$20871,WORKING!B57,PERSALDATA!$E$2:$E$20871,WORKING!C57,PERSALDATA!$F$2:$F$20871,"S&amp;W: BASIC SALARY (RES)")</f>
        <v>1</v>
      </c>
      <c r="AC57" s="2">
        <f>SUMIFS(PERSALDATA!$H$2:$H$20871,PERSALDATA!$A$2:$A$20871,WORKING!A57,PERSALDATA!$D$2:$D$20871,WORKING!B57,PERSALDATA!$E$2:$E$20871,WORKING!C57)</f>
        <v>176668.53</v>
      </c>
    </row>
    <row r="58" spans="1:29" x14ac:dyDescent="0.25">
      <c r="A58" s="2">
        <f>Results!$D$3</f>
        <v>27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0.72992785717896902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0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0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0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0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0.27007214282103092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7.5999999999999984E-2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7.0000000000000007E-2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6.9000000000000006E-2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6.7000000000000004E-2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1.4999999999999999E-2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6527.33</v>
      </c>
    </row>
    <row r="59" spans="1:29" x14ac:dyDescent="0.25">
      <c r="A59" s="2">
        <f>Results!$D$3</f>
        <v>27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0.71436353552327703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3.2455328514362614E-2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3.1545120354144078E-2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3.8721635234711858E-2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5.4415402195722856E-2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1.793026960423693E-2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3.1982731582586379E-4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0.11024888125771878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7.4144673746371015E-2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7.0265373324979244E-2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6.9265373324979243E-2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6.7265373324979241E-2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1.3941201256429772E-2</v>
      </c>
      <c r="AB59" s="2">
        <f>SUMIFS(PERSALDATA!$G$2:$G$20871,PERSALDATA!$A$2:$A$20871,WORKING!A59,PERSALDATA!$D$2:$D$20871,WORKING!B59,PERSALDATA!$E$2:$E$20871,WORKING!C59,PERSALDATA!$F$2:$F$20871,"S&amp;W: BASIC SALARY (RES)")</f>
        <v>7</v>
      </c>
      <c r="AC59" s="2">
        <f>SUMIFS(PERSALDATA!$H$2:$H$20871,PERSALDATA!$A$2:$A$20871,WORKING!A59,PERSALDATA!$D$2:$D$20871,WORKING!B59,PERSALDATA!$E$2:$E$20871,WORKING!C59)</f>
        <v>1293385.46</v>
      </c>
    </row>
    <row r="60" spans="1:29" x14ac:dyDescent="0.25">
      <c r="A60" s="2">
        <f>Results!$D$3</f>
        <v>27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0.7000713563403238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5.5509793957373869E-2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4.1396383380646919E-2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6.7753161645177862E-2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8.7178726190337771E-2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3.3748363721479234E-2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2.4155095942171212E-4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1.0900640505091503E-2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3.2000233001471361E-3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7.3802419126103316E-2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7.0602333590871189E-2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6.9602333590871174E-2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6.7602333590871186E-2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1.33591335602213E-2</v>
      </c>
      <c r="AB60" s="2">
        <f>SUMIFS(PERSALDATA!$G$2:$G$20871,PERSALDATA!$A$2:$A$20871,WORKING!A60,PERSALDATA!$D$2:$D$20871,WORKING!B60,PERSALDATA!$E$2:$E$20871,WORKING!C60,PERSALDATA!$F$2:$F$20871,"S&amp;W: BASIC SALARY (RES)")</f>
        <v>8</v>
      </c>
      <c r="AC60" s="2">
        <f>SUMIFS(PERSALDATA!$H$2:$H$20871,PERSALDATA!$A$2:$A$20871,WORKING!A60,PERSALDATA!$D$2:$D$20871,WORKING!B60,PERSALDATA!$E$2:$E$20871,WORKING!C60)</f>
        <v>2775604.7900000005</v>
      </c>
    </row>
    <row r="61" spans="1:29" x14ac:dyDescent="0.25">
      <c r="A61" s="2">
        <f>Results!$D$3</f>
        <v>27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0.72115718383373195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3.0553016385652838E-2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1.9710210556295286E-2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2.5583853302071281E-2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4.7486510879401124E-2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2.3631447445300477E-2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2.0428538229902492E-4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0.13167349221524793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7.486019794395056E-2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7.018665569396812E-2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6.9186655693968119E-2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6.7186655693968117E-2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1.4317524761390015E-2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684924.19000000006</v>
      </c>
    </row>
    <row r="62" spans="1:29" x14ac:dyDescent="0.25">
      <c r="A62" s="2">
        <f>Results!$D$3</f>
        <v>27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0.73589659029434351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5.7313293036672291E-2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2.5326316549178277E-2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5.7841327916742208E-2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8.9078215263398833E-2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1.8998173402600255E-2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1.598784224961184E-4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1.5386205114568433E-2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7.4884978533096822E-2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7.0614356753259333E-2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6.961435675325936E-2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6.7614356753259372E-2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1.3750087156673751E-2</v>
      </c>
      <c r="AB62" s="2">
        <f>SUMIFS(PERSALDATA!$G$2:$G$20871,PERSALDATA!$A$2:$A$20871,WORKING!A62,PERSALDATA!$D$2:$D$20871,WORKING!B62,PERSALDATA!$E$2:$E$20871,WORKING!C62,PERSALDATA!$F$2:$F$20871,"S&amp;W: BASIC SALARY (RES)")</f>
        <v>6</v>
      </c>
      <c r="AC62" s="2">
        <f>SUMIFS(PERSALDATA!$H$2:$H$20871,PERSALDATA!$A$2:$A$20871,WORKING!A62,PERSALDATA!$D$2:$D$20871,WORKING!B62,PERSALDATA!$E$2:$E$20871,WORKING!C62)</f>
        <v>1859725.6300000001</v>
      </c>
    </row>
    <row r="63" spans="1:29" x14ac:dyDescent="0.25">
      <c r="A63" s="2">
        <f>Results!$D$3</f>
        <v>27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0.78159187236240868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5.5853232181991196E-2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1.748142945296205E-2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1.9608737194010642E-2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9.7939738547040231E-2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1.5422630693031377E-2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1.3892429910173517E-4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1.1170463211794008E-2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7.9297205766013412E-4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7.4945933682291022E-2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7.011931676338054E-2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6.9119316763380539E-2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6.7119316763380552E-2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1.4441563635808882E-2</v>
      </c>
      <c r="AB63" s="2">
        <f>SUMIFS(PERSALDATA!$G$2:$G$20871,PERSALDATA!$A$2:$A$20871,WORKING!A63,PERSALDATA!$D$2:$D$20871,WORKING!B63,PERSALDATA!$E$2:$E$20871,WORKING!C63,PERSALDATA!$F$2:$F$20871,"S&amp;W: BASIC SALARY (RES)")</f>
        <v>23</v>
      </c>
      <c r="AC63" s="2">
        <f>SUMIFS(PERSALDATA!$H$2:$H$20871,PERSALDATA!$A$2:$A$20871,WORKING!A63,PERSALDATA!$D$2:$D$20871,WORKING!B63,PERSALDATA!$E$2:$E$20871,WORKING!C63)</f>
        <v>9987741.5899999999</v>
      </c>
    </row>
    <row r="64" spans="1:29" x14ac:dyDescent="0.25">
      <c r="A64" s="2">
        <f>Results!$D$3</f>
        <v>27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0.68976887814174281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5.6112132624299489E-2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2.0456759472010401E-2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2.0279836542847134E-2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7.9533129547422948E-2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1.6679145410823611E-2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1.0570870292459974E-4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0.11706440955792898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1.4387365429233266E-2</v>
      </c>
      <c r="AB64" s="2">
        <f>SUMIFS(PERSALDATA!$G$2:$G$20871,PERSALDATA!$A$2:$A$20871,WORKING!A64,PERSALDATA!$D$2:$D$20871,WORKING!B64,PERSALDATA!$E$2:$E$20871,WORKING!C64,PERSALDATA!$F$2:$F$20871,"S&amp;W: BASIC SALARY (RES)")</f>
        <v>8</v>
      </c>
      <c r="AC64" s="2">
        <f>SUMIFS(PERSALDATA!$H$2:$H$20871,PERSALDATA!$A$2:$A$20871,WORKING!A64,PERSALDATA!$D$2:$D$20871,WORKING!B64,PERSALDATA!$E$2:$E$20871,WORKING!C64)</f>
        <v>5460004.5600000005</v>
      </c>
    </row>
    <row r="65" spans="1:29" x14ac:dyDescent="0.25">
      <c r="A65" s="2">
        <f>Results!$D$3</f>
        <v>27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0.68878663065831758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2.7185048291560421E-2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2.7209971525755602E-2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2.1715275389867703E-2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7.8745432429820253E-2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2.5460657442938003E-2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9.5124357026447488E-5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0.13080185990471396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1.4264694430910252E-2</v>
      </c>
      <c r="AB65" s="2">
        <f>SUMIFS(PERSALDATA!$G$2:$G$20871,PERSALDATA!$A$2:$A$20871,WORKING!A65,PERSALDATA!$D$2:$D$20871,WORKING!B65,PERSALDATA!$E$2:$E$20871,WORKING!C65,PERSALDATA!$F$2:$F$20871,"S&amp;W: BASIC SALARY (RES)")</f>
        <v>9</v>
      </c>
      <c r="AC65" s="2">
        <f>SUMIFS(PERSALDATA!$H$2:$H$20871,PERSALDATA!$A$2:$A$20871,WORKING!A65,PERSALDATA!$D$2:$D$20871,WORKING!B65,PERSALDATA!$E$2:$E$20871,WORKING!C65)</f>
        <v>6128819.3500000015</v>
      </c>
    </row>
    <row r="66" spans="1:29" x14ac:dyDescent="0.25">
      <c r="A66" s="2">
        <f>Results!$D$3</f>
        <v>27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0.64815870970624212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4.5200004455365941E-2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1.7229342642036571E-2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1.2695194827690574E-2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8.0141148524323538E-2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2.9242492370515814E-2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7.5429969895290911E-5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0.16725767750393011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1.4550000488405662E-2</v>
      </c>
      <c r="AB66" s="2">
        <f>SUMIFS(PERSALDATA!$G$2:$G$20871,PERSALDATA!$A$2:$A$20871,WORKING!A66,PERSALDATA!$D$2:$D$20871,WORKING!B66,PERSALDATA!$E$2:$E$20871,WORKING!C66,PERSALDATA!$F$2:$F$20871,"S&amp;W: BASIC SALARY (RES)")</f>
        <v>20</v>
      </c>
      <c r="AC66" s="2">
        <f>SUMIFS(PERSALDATA!$H$2:$H$20871,PERSALDATA!$A$2:$A$20871,WORKING!A66,PERSALDATA!$D$2:$D$20871,WORKING!B66,PERSALDATA!$E$2:$E$20871,WORKING!C66)</f>
        <v>19090687.720000003</v>
      </c>
    </row>
    <row r="67" spans="1:29" x14ac:dyDescent="0.25">
      <c r="A67" s="2">
        <f>Results!$D$3</f>
        <v>27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0.59929757984877563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3.0570703954084656E-2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1.366161241780154E-2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1.4957568151323548E-2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5.5906086387604685E-2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2.6616982089326321E-2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6.305403364666153E-5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0.25892641311743697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1.4569766480958424E-2</v>
      </c>
      <c r="AB67" s="2">
        <f>SUMIFS(PERSALDATA!$G$2:$G$20871,PERSALDATA!$A$2:$A$20871,WORKING!A67,PERSALDATA!$D$2:$D$20871,WORKING!B67,PERSALDATA!$E$2:$E$20871,WORKING!C67,PERSALDATA!$F$2:$F$20871,"S&amp;W: BASIC SALARY (RES)")</f>
        <v>5</v>
      </c>
      <c r="AC67" s="2">
        <f>SUMIFS(PERSALDATA!$H$2:$H$20871,PERSALDATA!$A$2:$A$20871,WORKING!A67,PERSALDATA!$D$2:$D$20871,WORKING!B67,PERSALDATA!$E$2:$E$20871,WORKING!C67)</f>
        <v>5270241.74</v>
      </c>
    </row>
    <row r="68" spans="1:29" x14ac:dyDescent="0.25">
      <c r="A68" s="2">
        <f>Results!$D$3</f>
        <v>27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0.58795301739767125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2.7805404213853489E-2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3.1775572263235763E-3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7.6433767767850713E-2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2.0027740074585808E-2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5.0690732568191774E-5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0.28455182258714701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1.4951576280616621E-2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2530245.54</v>
      </c>
    </row>
    <row r="69" spans="1:29" x14ac:dyDescent="0.25">
      <c r="A69" s="2">
        <f>Results!$D$3</f>
        <v>27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27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27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27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27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27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0.64648901176365037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5.4074035397302614E-2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7.6396404607884036E-2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0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9.5484187773987206E-2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8.404270381702468E-2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4.3117753494494156E-2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3.9590314565685688E-4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7.1530651878636622E-2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7.0668298770530977E-2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6.9668298770530976E-2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6.766829877053096E-2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1.2415852567087077E-2</v>
      </c>
      <c r="AB74" s="2">
        <f>SUMIFS(PERSALDATA!$G$2:$G$20871,PERSALDATA!$A$2:$A$20871,WORKING!A74,PERSALDATA!$D$2:$D$20871,WORKING!B74,PERSALDATA!$E$2:$E$20871,WORKING!C74,PERSALDATA!$F$2:$F$20871,"S&amp;W: BASIC SALARY (RES)")</f>
        <v>3</v>
      </c>
      <c r="AC74" s="2">
        <f>SUMIFS(PERSALDATA!$H$2:$H$20871,PERSALDATA!$A$2:$A$20871,WORKING!A74,PERSALDATA!$D$2:$D$20871,WORKING!B74,PERSALDATA!$E$2:$E$20871,WORKING!C74)</f>
        <v>530129.66</v>
      </c>
    </row>
    <row r="75" spans="1:29" x14ac:dyDescent="0.25">
      <c r="A75" s="2">
        <f>Results!$D$3</f>
        <v>27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27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0.71106176881672956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4.3112011357772921E-2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4.2261144616011451E-2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4.799089344574798E-2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7.1438699397020161E-2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2.4062087039536384E-2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3.0795551599141849E-4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5.9765439811190209E-2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7.3460025517423616E-2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7.0297251955526122E-2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6.9297251955526121E-2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6.7297251955526105E-2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1.3641600096333738E-2</v>
      </c>
      <c r="AB76" s="2">
        <f>SUMIFS(PERSALDATA!$G$2:$G$20871,PERSALDATA!$A$2:$A$20871,WORKING!A76,PERSALDATA!$D$2:$D$20871,WORKING!B76,PERSALDATA!$E$2:$E$20871,WORKING!C76,PERSALDATA!$F$2:$F$20871,"S&amp;W: BASIC SALARY (RES)")</f>
        <v>10</v>
      </c>
      <c r="AC76" s="2">
        <f>SUMIFS(PERSALDATA!$H$2:$H$20871,PERSALDATA!$A$2:$A$20871,WORKING!A76,PERSALDATA!$D$2:$D$20871,WORKING!B76,PERSALDATA!$E$2:$E$20871,WORKING!C76)</f>
        <v>2214800.4</v>
      </c>
    </row>
    <row r="77" spans="1:29" x14ac:dyDescent="0.25">
      <c r="A77" s="2">
        <f>Results!$D$3</f>
        <v>27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0.75298224482278842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4.6125316017491973E-2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3.3626896809682193E-2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3.1943327968086334E-2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8.893302508055205E-2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1.8676144967980757E-2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2.5281332637834813E-4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2.5484873219582302E-2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1.9753577874576538E-3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7.3891562434017372E-2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7.0142880951424472E-2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6.9142880951424499E-2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6.7142880951424483E-2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1.4012654428437799E-2</v>
      </c>
      <c r="AB77" s="2">
        <f>SUMIFS(PERSALDATA!$G$2:$G$20871,PERSALDATA!$A$2:$A$20871,WORKING!A77,PERSALDATA!$D$2:$D$20871,WORKING!B77,PERSALDATA!$E$2:$E$20871,WORKING!C77,PERSALDATA!$F$2:$F$20871,"S&amp;W: BASIC SALARY (RES)")</f>
        <v>19</v>
      </c>
      <c r="AC77" s="2">
        <f>SUMIFS(PERSALDATA!$H$2:$H$20871,PERSALDATA!$A$2:$A$20871,WORKING!A77,PERSALDATA!$D$2:$D$20871,WORKING!B77,PERSALDATA!$E$2:$E$20871,WORKING!C77)</f>
        <v>4496400.63</v>
      </c>
    </row>
    <row r="78" spans="1:29" x14ac:dyDescent="0.25">
      <c r="A78" s="2">
        <f>Results!$D$3</f>
        <v>27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0.74791305082363635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5.500760542192179E-2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3.9017595497273592E-2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3.2041861463074757E-2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9.7228132382039825E-2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2.8583609566008659E-2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2.0814484604493271E-4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7.3483248802690249E-2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7.0090451966973374E-2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6.9090451966973387E-2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6.7090451966973386E-2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1.3930985972904099E-2</v>
      </c>
      <c r="AB78" s="2">
        <f>SUMIFS(PERSALDATA!$G$2:$G$20871,PERSALDATA!$A$2:$A$20871,WORKING!A78,PERSALDATA!$D$2:$D$20871,WORKING!B78,PERSALDATA!$E$2:$E$20871,WORKING!C78,PERSALDATA!$F$2:$F$20871,"S&amp;W: BASIC SALARY (RES)")</f>
        <v>13</v>
      </c>
      <c r="AC78" s="2">
        <f>SUMIFS(PERSALDATA!$H$2:$H$20871,PERSALDATA!$A$2:$A$20871,WORKING!A78,PERSALDATA!$D$2:$D$20871,WORKING!B78,PERSALDATA!$E$2:$E$20871,WORKING!C78)</f>
        <v>3921307.7600000002</v>
      </c>
    </row>
    <row r="79" spans="1:29" x14ac:dyDescent="0.25">
      <c r="A79" s="2">
        <f>Results!$D$3</f>
        <v>27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0.75517889431000096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7.0294282167506467E-2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2.6314695610385942E-2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1.9804912539524409E-2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9.8172771621309426E-2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3.0059312843272096E-2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1.751309080006279E-4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7.4277351909164013E-2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7.0033926731988994E-2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6.9033926731989007E-2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6.7033926731989005E-2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1.4305578914131332E-2</v>
      </c>
      <c r="AB79" s="2">
        <f>SUMIFS(PERSALDATA!$G$2:$G$20871,PERSALDATA!$A$2:$A$20871,WORKING!A79,PERSALDATA!$D$2:$D$20871,WORKING!B79,PERSALDATA!$E$2:$E$20871,WORKING!C79,PERSALDATA!$F$2:$F$20871,"S&amp;W: BASIC SALARY (RES)")</f>
        <v>6</v>
      </c>
      <c r="AC79" s="2">
        <f>SUMIFS(PERSALDATA!$H$2:$H$20871,PERSALDATA!$A$2:$A$20871,WORKING!A79,PERSALDATA!$D$2:$D$20871,WORKING!B79,PERSALDATA!$E$2:$E$20871,WORKING!C79)</f>
        <v>2496703.7800000003</v>
      </c>
    </row>
    <row r="80" spans="1:29" x14ac:dyDescent="0.25">
      <c r="A80" s="2">
        <f>Results!$D$3</f>
        <v>27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0.76256161245530951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6.4357403698807852E-2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2.153171922940874E-2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3.0698871994055951E-2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9.9132596461850464E-2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2.1581941265429543E-2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1.3585489513793611E-4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7.4793373546481717E-2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7.0245165887616756E-2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6.9245165887616755E-2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6.7245165887616754E-2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1.4214503308220961E-2</v>
      </c>
      <c r="AB80" s="2">
        <f>SUMIFS(PERSALDATA!$G$2:$G$20871,PERSALDATA!$A$2:$A$20871,WORKING!A80,PERSALDATA!$D$2:$D$20871,WORKING!B80,PERSALDATA!$E$2:$E$20871,WORKING!C80,PERSALDATA!$F$2:$F$20871,"S&amp;W: BASIC SALARY (RES)")</f>
        <v>24</v>
      </c>
      <c r="AC80" s="2">
        <f>SUMIFS(PERSALDATA!$H$2:$H$20871,PERSALDATA!$A$2:$A$20871,WORKING!A80,PERSALDATA!$D$2:$D$20871,WORKING!B80,PERSALDATA!$E$2:$E$20871,WORKING!C80)</f>
        <v>10728358.359999999</v>
      </c>
    </row>
    <row r="81" spans="1:29" x14ac:dyDescent="0.25">
      <c r="A81" s="2">
        <f>Results!$D$3</f>
        <v>27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0.70701048853560644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5.8658142604998617E-2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1.9197606354368912E-2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2.1409173114192933E-2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9.191105703874794E-2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2.3025619171001724E-2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1.1022469890531483E-4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7.8603434070238454E-2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7.4254411939520118E-5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1.4389244937487992E-2</v>
      </c>
      <c r="AB81" s="2">
        <f>SUMIFS(PERSALDATA!$G$2:$G$20871,PERSALDATA!$A$2:$A$20871,WORKING!A81,PERSALDATA!$D$2:$D$20871,WORKING!B81,PERSALDATA!$E$2:$E$20871,WORKING!C81,PERSALDATA!$F$2:$F$20871,"S&amp;W: BASIC SALARY (RES)")</f>
        <v>16</v>
      </c>
      <c r="AC81" s="2">
        <f>SUMIFS(PERSALDATA!$H$2:$H$20871,PERSALDATA!$A$2:$A$20871,WORKING!A81,PERSALDATA!$D$2:$D$20871,WORKING!B81,PERSALDATA!$E$2:$E$20871,WORKING!C81)</f>
        <v>10208147.639999999</v>
      </c>
    </row>
    <row r="82" spans="1:29" x14ac:dyDescent="0.25">
      <c r="A82" s="2">
        <f>Results!$D$3</f>
        <v>27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0.67402769337769741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5.204632268584819E-2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0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1.6058845215484216E-2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8.7623382865084018E-2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3.0042704989407105E-2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9.1827782862665793E-5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0.13895170845796193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1.1575146256543368E-3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1.4757739905024794E-2</v>
      </c>
      <c r="AB82" s="2">
        <f>SUMIFS(PERSALDATA!$G$2:$G$20871,PERSALDATA!$A$2:$A$20871,WORKING!A82,PERSALDATA!$D$2:$D$20871,WORKING!B82,PERSALDATA!$E$2:$E$20871,WORKING!C82,PERSALDATA!$F$2:$F$20871,"S&amp;W: BASIC SALARY (RES)")</f>
        <v>8</v>
      </c>
      <c r="AC82" s="2">
        <f>SUMIFS(PERSALDATA!$H$2:$H$20871,PERSALDATA!$A$2:$A$20871,WORKING!A82,PERSALDATA!$D$2:$D$20871,WORKING!B82,PERSALDATA!$E$2:$E$20871,WORKING!C82)</f>
        <v>5650468.5600000005</v>
      </c>
    </row>
    <row r="83" spans="1:29" x14ac:dyDescent="0.25">
      <c r="A83" s="2">
        <f>Results!$D$3</f>
        <v>27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0.65278844043958584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3.6455544996818579E-2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2.0928301189704655E-2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9.8241687949547265E-3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6.3543820399379849E-2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2.2352180024502042E-2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7.3504090795335381E-5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0.18402134255047353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1.0012697513785439E-2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1.4537610388868178E-2</v>
      </c>
      <c r="AB83" s="2">
        <f>SUMIFS(PERSALDATA!$G$2:$G$20871,PERSALDATA!$A$2:$A$20871,WORKING!A83,PERSALDATA!$D$2:$D$20871,WORKING!B83,PERSALDATA!$E$2:$E$20871,WORKING!C83,PERSALDATA!$F$2:$F$20871,"S&amp;W: BASIC SALARY (RES)")</f>
        <v>18</v>
      </c>
      <c r="AC83" s="2">
        <f>SUMIFS(PERSALDATA!$H$2:$H$20871,PERSALDATA!$A$2:$A$20871,WORKING!A83,PERSALDATA!$D$2:$D$20871,WORKING!B83,PERSALDATA!$E$2:$E$20871,WORKING!C83)</f>
        <v>16734850.899999999</v>
      </c>
    </row>
    <row r="84" spans="1:29" x14ac:dyDescent="0.25">
      <c r="A84" s="2">
        <f>Results!$D$3</f>
        <v>27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0.61433946556407981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4.6656225267534185E-2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1.2091699017929879E-2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4.3824657850881753E-3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6.5873534612809329E-2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1.861584963350944E-2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6.1464586456654065E-5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0.21081385973732691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2.7165435795265574E-2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1.4751965559157877E-2</v>
      </c>
      <c r="AB84" s="2">
        <f>SUMIFS(PERSALDATA!$G$2:$G$20871,PERSALDATA!$A$2:$A$20871,WORKING!A84,PERSALDATA!$D$2:$D$20871,WORKING!B84,PERSALDATA!$E$2:$E$20871,WORKING!C84,PERSALDATA!$F$2:$F$20871,"S&amp;W: BASIC SALARY (RES)")</f>
        <v>5</v>
      </c>
      <c r="AC84" s="2">
        <f>SUMIFS(PERSALDATA!$H$2:$H$20871,PERSALDATA!$A$2:$A$20871,WORKING!A84,PERSALDATA!$D$2:$D$20871,WORKING!B84,PERSALDATA!$E$2:$E$20871,WORKING!C84)</f>
        <v>6450706.3799999999</v>
      </c>
    </row>
    <row r="85" spans="1:29" x14ac:dyDescent="0.25">
      <c r="A85" s="2">
        <f>Results!$D$3</f>
        <v>27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0.59996894076366936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7.7995734906073894E-2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5.1988328397340284E-5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0.32198333600185941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1.4999220175074039E-2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224281.11000000002</v>
      </c>
    </row>
    <row r="86" spans="1:29" x14ac:dyDescent="0.25">
      <c r="A86" s="2">
        <f>Results!$D$3</f>
        <v>27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27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27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27</v>
      </c>
      <c r="B89" s="2">
        <v>6</v>
      </c>
      <c r="C89" s="2">
        <v>2</v>
      </c>
      <c r="D89" s="62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>0.72929971532002746</v>
      </c>
      <c r="E89" s="62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>0</v>
      </c>
      <c r="F89" s="62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>0</v>
      </c>
      <c r="G89" s="69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>0</v>
      </c>
      <c r="H89" s="62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>0</v>
      </c>
      <c r="I89" s="62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>0</v>
      </c>
      <c r="J89" s="62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>0</v>
      </c>
      <c r="K89" s="62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>6.4979590978871116E-4</v>
      </c>
      <c r="L89" s="62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>0</v>
      </c>
      <c r="M89" s="62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>0.27005048877018389</v>
      </c>
      <c r="N89" s="62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>0</v>
      </c>
      <c r="O89" s="62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>0</v>
      </c>
      <c r="P89" s="62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>0</v>
      </c>
      <c r="Q89" s="62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>0</v>
      </c>
      <c r="R89" s="62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>0</v>
      </c>
      <c r="S89" s="62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>0</v>
      </c>
      <c r="T89" s="62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>0</v>
      </c>
      <c r="U89" s="62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>0</v>
      </c>
      <c r="V89" s="62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>0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7.6000000000000012E-2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7.0000000000000007E-2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6.9000000000000006E-2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6.7000000000000004E-2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1.4990253061353171E-2</v>
      </c>
      <c r="AB89" s="2">
        <f>SUMIFS(PERSALDATA!$G$2:$G$20871,PERSALDATA!$A$2:$A$20871,WORKING!A89,PERSALDATA!$D$2:$D$20871,WORKING!B89,PERSALDATA!$E$2:$E$20871,WORKING!C89,PERSALDATA!$F$2:$F$20871,"S&amp;W: BASIC SALARY (RES)")</f>
        <v>32</v>
      </c>
      <c r="AC89" s="2">
        <f>SUMIFS(PERSALDATA!$H$2:$H$20871,PERSALDATA!$A$2:$A$20871,WORKING!A89,PERSALDATA!$D$2:$D$20871,WORKING!B89,PERSALDATA!$E$2:$E$20871,WORKING!C89)</f>
        <v>1381695.37</v>
      </c>
    </row>
    <row r="90" spans="1:29" x14ac:dyDescent="0.25">
      <c r="A90" s="2">
        <f>Results!$D$3</f>
        <v>27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0.71673586769407305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0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0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1.7526244415814268E-2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0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0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5.4570064989945585E-4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0.26519218724021321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7.5999999999999984E-2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7.0000000000000007E-2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6.9000000000000006E-2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6.7000000000000004E-2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1.4991814490251505E-2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918782.12000000023</v>
      </c>
    </row>
    <row r="91" spans="1:29" x14ac:dyDescent="0.25">
      <c r="A91" s="2">
        <f>Results!$D$3</f>
        <v>27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0.70551854624735799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5.8470981081285262E-2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5.8384009040232228E-2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5.5321762468067602E-2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9.1729458321075819E-2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3.0142819718762849E-2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4.3242312321812643E-4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7.2337319987495291E-2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7.0245986346618688E-2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6.9245986346618688E-2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6.7245986346618686E-2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1.3287927080527229E-2</v>
      </c>
      <c r="AB91" s="2">
        <f>SUMIFS(PERSALDATA!$G$2:$G$20871,PERSALDATA!$A$2:$A$20871,WORKING!A91,PERSALDATA!$D$2:$D$20871,WORKING!B91,PERSALDATA!$E$2:$E$20871,WORKING!C91,PERSALDATA!$F$2:$F$20871,"S&amp;W: BASIC SALARY (RES)")</f>
        <v>17</v>
      </c>
      <c r="AC91" s="2">
        <f>SUMIFS(PERSALDATA!$H$2:$H$20871,PERSALDATA!$A$2:$A$20871,WORKING!A91,PERSALDATA!$D$2:$D$20871,WORKING!B91,PERSALDATA!$E$2:$E$20871,WORKING!C91)</f>
        <v>2831254.7</v>
      </c>
    </row>
    <row r="92" spans="1:29" x14ac:dyDescent="0.25">
      <c r="A92" s="2">
        <f>Results!$D$3</f>
        <v>27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27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0.70507557327083692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5.6464509579033782E-2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4.2543340055913786E-2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5.0071720511648127E-3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5.1912311072184379E-2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8.8158167184657119E-2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3.4743271986569707E-2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2.9944881845858743E-4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2.4294557969603411E-3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9.6548772735890066E-3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3.7118729106314272E-3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7.3493478510761115E-2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7.0353251265523623E-2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6.9353251265523622E-2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6.735325126552362E-2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1.3578673500801644E-2</v>
      </c>
      <c r="AB93" s="2">
        <f>SUMIFS(PERSALDATA!$G$2:$G$20871,PERSALDATA!$A$2:$A$20871,WORKING!A93,PERSALDATA!$D$2:$D$20871,WORKING!B93,PERSALDATA!$E$2:$E$20871,WORKING!C93,PERSALDATA!$F$2:$F$20871,"S&amp;W: BASIC SALARY (RES)")</f>
        <v>80</v>
      </c>
      <c r="AC93" s="2">
        <f>SUMIFS(PERSALDATA!$H$2:$H$20871,PERSALDATA!$A$2:$A$20871,WORKING!A93,PERSALDATA!$D$2:$D$20871,WORKING!B93,PERSALDATA!$E$2:$E$20871,WORKING!C93)</f>
        <v>18651568.000000004</v>
      </c>
    </row>
    <row r="94" spans="1:29" x14ac:dyDescent="0.25">
      <c r="A94" s="2">
        <f>Results!$D$3</f>
        <v>27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0.74223310086555883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4.6725100577394832E-2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3.5207943312034612E-2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1.5998340902881824E-3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3.5548349267709708E-2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8.4918420114283216E-2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1.7046455197278123E-2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2.4821820636132969E-4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2.7631830713266969E-3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3.2933816809673687E-2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7.7557848809076243E-4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7.3821873198033294E-2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7.0181145805895323E-2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6.9181145805895294E-2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6.7181145805895293E-2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1.3934932338208411E-2</v>
      </c>
      <c r="AB94" s="2">
        <f>SUMIFS(PERSALDATA!$G$2:$G$20871,PERSALDATA!$A$2:$A$20871,WORKING!A94,PERSALDATA!$D$2:$D$20871,WORKING!B94,PERSALDATA!$E$2:$E$20871,WORKING!C94,PERSALDATA!$F$2:$F$20871,"S&amp;W: BASIC SALARY (RES)")</f>
        <v>46</v>
      </c>
      <c r="AC94" s="2">
        <f>SUMIFS(PERSALDATA!$H$2:$H$20871,PERSALDATA!$A$2:$A$20871,WORKING!A94,PERSALDATA!$D$2:$D$20871,WORKING!B94,PERSALDATA!$E$2:$E$20871,WORKING!C94)</f>
        <v>13599203.9</v>
      </c>
    </row>
    <row r="95" spans="1:29" x14ac:dyDescent="0.25">
      <c r="A95" s="2">
        <f>Results!$D$3</f>
        <v>27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0.73824527570078058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5.7073682241081128E-2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2.3557623645283115E-2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4.1921010280949756E-4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2.8157631451765724E-2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9.3707597970769677E-2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2.3676706823210793E-2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2.0217990698436899E-4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2.3009332937145008E-2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6.3070242828028936E-3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5.6437349373674285E-3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7.4603827443283199E-2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7.0186788235323649E-2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6.9186788235323676E-2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6.7186788235323661E-2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1.4221238474939503E-2</v>
      </c>
      <c r="AB95" s="2">
        <f>SUMIFS(PERSALDATA!$G$2:$G$20871,PERSALDATA!$A$2:$A$20871,WORKING!A95,PERSALDATA!$D$2:$D$20871,WORKING!B95,PERSALDATA!$E$2:$E$20871,WORKING!C95,PERSALDATA!$F$2:$F$20871,"S&amp;W: BASIC SALARY (RES)")</f>
        <v>129</v>
      </c>
      <c r="AC95" s="2">
        <f>SUMIFS(PERSALDATA!$H$2:$H$20871,PERSALDATA!$A$2:$A$20871,WORKING!A95,PERSALDATA!$D$2:$D$20871,WORKING!B95,PERSALDATA!$E$2:$E$20871,WORKING!C95)</f>
        <v>44291394.399999991</v>
      </c>
    </row>
    <row r="96" spans="1:29" x14ac:dyDescent="0.25">
      <c r="A96" s="2">
        <f>Results!$D$3</f>
        <v>27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0.74966645562755774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6.427984718490265E-2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2.3995006747980649E-2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3.4960960076972004E-2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9.7496219714391361E-2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1.7628917720706485E-2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1.7005671281008627E-4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4.0077885184043264E-3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7.7947476962746893E-3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7.4665832928231077E-2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7.0284464333674773E-2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6.9284464333674758E-2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6.7284464333674771E-2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1.4113109646933557E-2</v>
      </c>
      <c r="AB96" s="2">
        <f>SUMIFS(PERSALDATA!$G$2:$G$20871,PERSALDATA!$A$2:$A$20871,WORKING!A96,PERSALDATA!$D$2:$D$20871,WORKING!B96,PERSALDATA!$E$2:$E$20871,WORKING!C96,PERSALDATA!$F$2:$F$20871,"S&amp;W: BASIC SALARY (RES)")</f>
        <v>17</v>
      </c>
      <c r="AC96" s="2">
        <f>SUMIFS(PERSALDATA!$H$2:$H$20871,PERSALDATA!$A$2:$A$20871,WORKING!A96,PERSALDATA!$D$2:$D$20871,WORKING!B96,PERSALDATA!$E$2:$E$20871,WORKING!C96)</f>
        <v>7439047.71</v>
      </c>
    </row>
    <row r="97" spans="1:29" x14ac:dyDescent="0.25">
      <c r="A97" s="2">
        <f>Results!$D$3</f>
        <v>27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0.75957663082178317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5.7994753365104047E-2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1.7108735670302039E-2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1.8675549991154369E-3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2.472607395358413E-2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9.7064905945828395E-2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1.4723414563680183E-2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1.4179006368986093E-4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1.9981821552209369E-2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4.7916536059945192E-3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2.022665458708967E-3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7.5045901124407219E-2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7.0199803752600751E-2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6.919980375260075E-2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6.7199803752600734E-2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1.4370351004686362E-2</v>
      </c>
      <c r="AB97" s="2">
        <f>SUMIFS(PERSALDATA!$G$2:$G$20871,PERSALDATA!$A$2:$A$20871,WORKING!A97,PERSALDATA!$D$2:$D$20871,WORKING!B97,PERSALDATA!$E$2:$E$20871,WORKING!C97,PERSALDATA!$F$2:$F$20871,"S&amp;W: BASIC SALARY (RES)")</f>
        <v>66</v>
      </c>
      <c r="AC97" s="2">
        <f>SUMIFS(PERSALDATA!$H$2:$H$20871,PERSALDATA!$A$2:$A$20871,WORKING!A97,PERSALDATA!$D$2:$D$20871,WORKING!B97,PERSALDATA!$E$2:$E$20871,WORKING!C97)</f>
        <v>30878962.079999998</v>
      </c>
    </row>
    <row r="98" spans="1:29" x14ac:dyDescent="0.25">
      <c r="A98" s="2">
        <f>Results!$D$3</f>
        <v>27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0.70393338434500752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4.5285538661253365E-2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1.1386300011660291E-2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2.1116441563443826E-2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8.651333114580298E-2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1.4831025368200888E-2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1.0866012692849824E-4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6.2536050640928376E-3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0.11057171371360973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1.4510828974469512E-2</v>
      </c>
      <c r="AB98" s="2">
        <f>SUMIFS(PERSALDATA!$G$2:$G$20871,PERSALDATA!$A$2:$A$20871,WORKING!A98,PERSALDATA!$D$2:$D$20871,WORKING!B98,PERSALDATA!$E$2:$E$20871,WORKING!C98,PERSALDATA!$F$2:$F$20871,"S&amp;W: BASIC SALARY (RES)")</f>
        <v>15</v>
      </c>
      <c r="AC98" s="2">
        <f>SUMIFS(PERSALDATA!$H$2:$H$20871,PERSALDATA!$A$2:$A$20871,WORKING!A98,PERSALDATA!$D$2:$D$20871,WORKING!B98,PERSALDATA!$E$2:$E$20871,WORKING!C98)</f>
        <v>9496675.8200000003</v>
      </c>
    </row>
    <row r="99" spans="1:29" x14ac:dyDescent="0.25">
      <c r="A99" s="2">
        <f>Results!$D$3</f>
        <v>27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0.70836436770233202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4.9770716025458885E-2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7.9145048352265331E-3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6.2316035592361685E-4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1.2596871993693111E-2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9.2087116688602116E-2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1.6641227456495579E-2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9.7965026960133454E-5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7.5347221828588884E-3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0.10352609315397408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8.4325457847494859E-4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1.4690859872161802E-2</v>
      </c>
      <c r="AB99" s="2">
        <f>SUMIFS(PERSALDATA!$G$2:$G$20871,PERSALDATA!$A$2:$A$20871,WORKING!A99,PERSALDATA!$D$2:$D$20871,WORKING!B99,PERSALDATA!$E$2:$E$20871,WORKING!C99,PERSALDATA!$F$2:$F$20871,"S&amp;W: BASIC SALARY (RES)")</f>
        <v>74</v>
      </c>
      <c r="AC99" s="2">
        <f>SUMIFS(PERSALDATA!$H$2:$H$20871,PERSALDATA!$A$2:$A$20871,WORKING!A99,PERSALDATA!$D$2:$D$20871,WORKING!B99,PERSALDATA!$E$2:$E$20871,WORKING!C99)</f>
        <v>49688446.490000017</v>
      </c>
    </row>
    <row r="100" spans="1:29" x14ac:dyDescent="0.25">
      <c r="A100" s="2">
        <f>Results!$D$3</f>
        <v>27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0.65291400294094637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4.0785415061687078E-2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2.1782043567976823E-2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1.1516667517741483E-2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8.4878603164337679E-2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1.6787268392070953E-2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7.556920928214727E-5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0.16828562165020222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2.9748084957551975E-3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1.4499385795574995E-2</v>
      </c>
      <c r="AB100" s="2">
        <f>SUMIFS(PERSALDATA!$G$2:$G$20871,PERSALDATA!$A$2:$A$20871,WORKING!A100,PERSALDATA!$D$2:$D$20871,WORKING!B100,PERSALDATA!$E$2:$E$20871,WORKING!C100,PERSALDATA!$F$2:$F$20871,"S&amp;W: BASIC SALARY (RES)")</f>
        <v>20</v>
      </c>
      <c r="AC100" s="2">
        <f>SUMIFS(PERSALDATA!$H$2:$H$20871,PERSALDATA!$A$2:$A$20871,WORKING!A100,PERSALDATA!$D$2:$D$20871,WORKING!B100,PERSALDATA!$E$2:$E$20871,WORKING!C100)</f>
        <v>19055512.34</v>
      </c>
    </row>
    <row r="101" spans="1:29" x14ac:dyDescent="0.25">
      <c r="A101" s="2">
        <f>Results!$D$3</f>
        <v>27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0.62372557200748457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6.3019384526650846E-2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0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1.0528524677772686E-2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8.108416968544882E-2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1.5060124229330146E-2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6.3938852991057057E-5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0.20651828602032174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1.4841113047038541E-2</v>
      </c>
      <c r="AB101" s="2">
        <f>SUMIFS(PERSALDATA!$G$2:$G$20871,PERSALDATA!$A$2:$A$20871,WORKING!A101,PERSALDATA!$D$2:$D$20871,WORKING!B101,PERSALDATA!$E$2:$E$20871,WORKING!C101,PERSALDATA!$F$2:$F$20871,"S&amp;W: BASIC SALARY (RES)")</f>
        <v>3</v>
      </c>
      <c r="AC101" s="2">
        <f>SUMIFS(PERSALDATA!$H$2:$H$20871,PERSALDATA!$A$2:$A$20871,WORKING!A101,PERSALDATA!$D$2:$D$20871,WORKING!B101,PERSALDATA!$E$2:$E$20871,WORKING!C101)</f>
        <v>2644245.12</v>
      </c>
    </row>
    <row r="102" spans="1:29" x14ac:dyDescent="0.25">
      <c r="A102" s="2">
        <f>Results!$D$3</f>
        <v>27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0.59631997801719661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0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1.2246832325876118E-3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6.0254740756936183E-3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1.7119742679982005E-2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4.9339100019247709E-5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0.37926078289452098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1.4980889665010898E-2</v>
      </c>
      <c r="AB102" s="2">
        <f>SUMIFS(PERSALDATA!$G$2:$G$20871,PERSALDATA!$A$2:$A$20871,WORKING!A102,PERSALDATA!$D$2:$D$20871,WORKING!B102,PERSALDATA!$E$2:$E$20871,WORKING!C102,PERSALDATA!$F$2:$F$20871,"S&amp;W: BASIC SALARY (RES)")</f>
        <v>1</v>
      </c>
      <c r="AC102" s="2">
        <f>SUMIFS(PERSALDATA!$H$2:$H$20871,PERSALDATA!$A$2:$A$20871,WORKING!A102,PERSALDATA!$D$2:$D$20871,WORKING!B102,PERSALDATA!$E$2:$E$20871,WORKING!C102)</f>
        <v>1535090.83</v>
      </c>
    </row>
    <row r="103" spans="1:29" x14ac:dyDescent="0.25">
      <c r="A103" s="2">
        <f>Results!$D$3</f>
        <v>27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27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27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27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27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27</v>
      </c>
      <c r="B108" s="2">
        <v>7</v>
      </c>
      <c r="C108" s="2">
        <v>4</v>
      </c>
      <c r="D108" s="62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>0.64020972530825127</v>
      </c>
      <c r="E108" s="62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>5.3388564099590058E-2</v>
      </c>
      <c r="F108" s="62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>7.140796815174999E-2</v>
      </c>
      <c r="G108" s="69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>0</v>
      </c>
      <c r="H108" s="62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>0.11995348516691469</v>
      </c>
      <c r="I108" s="62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>8.3226367723361436E-2</v>
      </c>
      <c r="J108" s="62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>3.1443837590732812E-2</v>
      </c>
      <c r="K108" s="62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>3.7005195939973548E-4</v>
      </c>
      <c r="L108" s="62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>0</v>
      </c>
      <c r="M108" s="62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>0</v>
      </c>
      <c r="N108" s="62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>0</v>
      </c>
      <c r="O108" s="62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>0</v>
      </c>
      <c r="P108" s="62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>0</v>
      </c>
      <c r="Q108" s="62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>0</v>
      </c>
      <c r="R108" s="62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>0</v>
      </c>
      <c r="S108" s="62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>0</v>
      </c>
      <c r="T108" s="62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>0</v>
      </c>
      <c r="U108" s="62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>0</v>
      </c>
      <c r="V108" s="62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>0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7.2252343212803813E-2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7.1085222595986236E-2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7.0085222595986221E-2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6.8085222595986233E-2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1.2124027420829032E-2</v>
      </c>
      <c r="AB108" s="2">
        <f>SUMIFS(PERSALDATA!$G$2:$G$20871,PERSALDATA!$A$2:$A$20871,WORKING!A108,PERSALDATA!$D$2:$D$20871,WORKING!B108,PERSALDATA!$E$2:$E$20871,WORKING!C108,PERSALDATA!$F$2:$F$20871,"S&amp;W: BASIC SALARY (RES)")</f>
        <v>5</v>
      </c>
      <c r="AC108" s="2">
        <f>SUMIFS(PERSALDATA!$H$2:$H$20871,PERSALDATA!$A$2:$A$20871,WORKING!A108,PERSALDATA!$D$2:$D$20871,WORKING!B108,PERSALDATA!$E$2:$E$20871,WORKING!C108)</f>
        <v>945272.66</v>
      </c>
    </row>
    <row r="109" spans="1:29" x14ac:dyDescent="0.25">
      <c r="A109" s="2">
        <f>Results!$D$3</f>
        <v>27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27</v>
      </c>
      <c r="B110" s="2">
        <v>7</v>
      </c>
      <c r="C110" s="2">
        <v>6</v>
      </c>
      <c r="D110" s="62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>0.71424457578623146</v>
      </c>
      <c r="E110" s="62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>5.2730440684094708E-2</v>
      </c>
      <c r="F110" s="62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>5.5110841810458305E-2</v>
      </c>
      <c r="G110" s="69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>0</v>
      </c>
      <c r="H110" s="62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>4.5318868331967709E-2</v>
      </c>
      <c r="I110" s="62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>8.8768600753246649E-2</v>
      </c>
      <c r="J110" s="62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>3.1893664202141618E-2</v>
      </c>
      <c r="K110" s="62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>3.1386261940074373E-4</v>
      </c>
      <c r="L110" s="62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>0</v>
      </c>
      <c r="M110" s="62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>1.1619145812458881E-2</v>
      </c>
      <c r="N110" s="62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>0</v>
      </c>
      <c r="O110" s="62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>0</v>
      </c>
      <c r="P110" s="62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>0</v>
      </c>
      <c r="Q110" s="62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>0</v>
      </c>
      <c r="R110" s="62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>0</v>
      </c>
      <c r="S110" s="62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>0</v>
      </c>
      <c r="T110" s="62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>0</v>
      </c>
      <c r="U110" s="62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>0</v>
      </c>
      <c r="V110" s="62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>0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7.2446040179052734E-2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7.0128674606874941E-2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6.912867460687494E-2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6.7128674606874952E-2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1.3488846408572598E-2</v>
      </c>
      <c r="AB110" s="2">
        <f>SUMIFS(PERSALDATA!$G$2:$G$20871,PERSALDATA!$A$2:$A$20871,WORKING!A110,PERSALDATA!$D$2:$D$20871,WORKING!B110,PERSALDATA!$E$2:$E$20871,WORKING!C110,PERSALDATA!$F$2:$F$20871,"S&amp;W: BASIC SALARY (RES)")</f>
        <v>9</v>
      </c>
      <c r="AC110" s="2">
        <f>SUMIFS(PERSALDATA!$H$2:$H$20871,PERSALDATA!$A$2:$A$20871,WORKING!A110,PERSALDATA!$D$2:$D$20871,WORKING!B110,PERSALDATA!$E$2:$E$20871,WORKING!C110)</f>
        <v>2117550.67</v>
      </c>
    </row>
    <row r="111" spans="1:29" x14ac:dyDescent="0.25">
      <c r="A111" s="2">
        <f>Results!$D$3</f>
        <v>27</v>
      </c>
      <c r="B111" s="2">
        <v>7</v>
      </c>
      <c r="C111" s="2">
        <v>7</v>
      </c>
      <c r="D111" s="62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>0.73949813659308072</v>
      </c>
      <c r="E111" s="62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>4.2260656716208919E-2</v>
      </c>
      <c r="F111" s="62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>3.2649687167599167E-2</v>
      </c>
      <c r="G111" s="69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>0</v>
      </c>
      <c r="H111" s="62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>5.2672571739575284E-2</v>
      </c>
      <c r="I111" s="62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>8.6330873444380979E-2</v>
      </c>
      <c r="J111" s="62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>1.8789067438320043E-2</v>
      </c>
      <c r="K111" s="62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>2.6022954194550193E-4</v>
      </c>
      <c r="L111" s="62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>0</v>
      </c>
      <c r="M111" s="62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>2.753877735888937E-2</v>
      </c>
      <c r="N111" s="62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>0</v>
      </c>
      <c r="O111" s="62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>0</v>
      </c>
      <c r="P111" s="62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>0</v>
      </c>
      <c r="Q111" s="62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>0</v>
      </c>
      <c r="R111" s="62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>0</v>
      </c>
      <c r="S111" s="62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>0</v>
      </c>
      <c r="T111" s="62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>0</v>
      </c>
      <c r="U111" s="62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>0</v>
      </c>
      <c r="V111" s="62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>0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7.4256039779616506E-2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7.0463591704417641E-2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6.946359170441764E-2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6.7463591704417639E-2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1.3716262673263202E-2</v>
      </c>
      <c r="AB111" s="2">
        <f>SUMIFS(PERSALDATA!$G$2:$G$20871,PERSALDATA!$A$2:$A$20871,WORKING!A111,PERSALDATA!$D$2:$D$20871,WORKING!B111,PERSALDATA!$E$2:$E$20871,WORKING!C111,PERSALDATA!$F$2:$F$20871,"S&amp;W: BASIC SALARY (RES)")</f>
        <v>7</v>
      </c>
      <c r="AC111" s="2">
        <f>SUMIFS(PERSALDATA!$H$2:$H$20871,PERSALDATA!$A$2:$A$20871,WORKING!A111,PERSALDATA!$D$2:$D$20871,WORKING!B111,PERSALDATA!$E$2:$E$20871,WORKING!C111)</f>
        <v>1993893.5299999998</v>
      </c>
    </row>
    <row r="112" spans="1:29" x14ac:dyDescent="0.25">
      <c r="A112" s="2">
        <f>Results!$D$3</f>
        <v>27</v>
      </c>
      <c r="B112" s="2">
        <v>7</v>
      </c>
      <c r="C112" s="2">
        <v>8</v>
      </c>
      <c r="D112" s="62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>0.77233457559743857</v>
      </c>
      <c r="E112" s="62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>5.5224824477075114E-2</v>
      </c>
      <c r="F112" s="62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>2.922228574075143E-2</v>
      </c>
      <c r="G112" s="69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>0</v>
      </c>
      <c r="H112" s="62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>2.1040045733341031E-2</v>
      </c>
      <c r="I112" s="62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>0.10040293434731881</v>
      </c>
      <c r="J112" s="62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>2.1558996420432342E-2</v>
      </c>
      <c r="K112" s="62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>2.1633768364264232E-4</v>
      </c>
      <c r="L112" s="62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>0</v>
      </c>
      <c r="M112" s="62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>0</v>
      </c>
      <c r="N112" s="62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>0</v>
      </c>
      <c r="O112" s="62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>0</v>
      </c>
      <c r="P112" s="62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>0</v>
      </c>
      <c r="Q112" s="62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>0</v>
      </c>
      <c r="R112" s="62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>0</v>
      </c>
      <c r="S112" s="62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>0</v>
      </c>
      <c r="T112" s="62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>0</v>
      </c>
      <c r="U112" s="62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>0</v>
      </c>
      <c r="V112" s="62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>0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7.4073666923969661E-2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7.0023377828592609E-2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6.9023377828592594E-2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6.7023377828592606E-2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1.4242819962633975E-2</v>
      </c>
      <c r="AB112" s="2">
        <f>SUMIFS(PERSALDATA!$G$2:$G$20871,PERSALDATA!$A$2:$A$20871,WORKING!A112,PERSALDATA!$D$2:$D$20871,WORKING!B112,PERSALDATA!$E$2:$E$20871,WORKING!C112,PERSALDATA!$F$2:$F$20871,"S&amp;W: BASIC SALARY (RES)")</f>
        <v>4</v>
      </c>
      <c r="AC112" s="2">
        <f>SUMIFS(PERSALDATA!$H$2:$H$20871,PERSALDATA!$A$2:$A$20871,WORKING!A112,PERSALDATA!$D$2:$D$20871,WORKING!B112,PERSALDATA!$E$2:$E$20871,WORKING!C112)</f>
        <v>1293533.31</v>
      </c>
    </row>
    <row r="113" spans="1:29" x14ac:dyDescent="0.25">
      <c r="A113" s="2">
        <f>Results!$D$3</f>
        <v>27</v>
      </c>
      <c r="B113" s="2">
        <v>7</v>
      </c>
      <c r="C113" s="2">
        <v>9</v>
      </c>
      <c r="D113" s="62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>0.77341284985033987</v>
      </c>
      <c r="E113" s="62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>5.1544055312041766E-2</v>
      </c>
      <c r="F113" s="62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>2.6852804109204886E-2</v>
      </c>
      <c r="G113" s="69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>0</v>
      </c>
      <c r="H113" s="62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>3.0140316124122799E-2</v>
      </c>
      <c r="I113" s="62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>0.10054318869526097</v>
      </c>
      <c r="J113" s="62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>1.7150313711674702E-2</v>
      </c>
      <c r="K113" s="62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>1.7109491579963331E-4</v>
      </c>
      <c r="L113" s="62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>0</v>
      </c>
      <c r="M113" s="62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>0</v>
      </c>
      <c r="N113" s="62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>1.8537728155534886E-4</v>
      </c>
      <c r="O113" s="62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>0</v>
      </c>
      <c r="P113" s="62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>0</v>
      </c>
      <c r="Q113" s="62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>0</v>
      </c>
      <c r="R113" s="62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>0</v>
      </c>
      <c r="S113" s="62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>0</v>
      </c>
      <c r="T113" s="62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>0</v>
      </c>
      <c r="U113" s="62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>0</v>
      </c>
      <c r="V113" s="62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>0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7.4381151313438143E-2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7.0183576700769801E-2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6.91835767007698E-2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6.7183576700769798E-2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1.4142536772763089E-2</v>
      </c>
      <c r="AB113" s="2">
        <f>SUMIFS(PERSALDATA!$G$2:$G$20871,PERSALDATA!$A$2:$A$20871,WORKING!A113,PERSALDATA!$D$2:$D$20871,WORKING!B113,PERSALDATA!$E$2:$E$20871,WORKING!C113,PERSALDATA!$F$2:$F$20871,"S&amp;W: BASIC SALARY (RES)")</f>
        <v>6</v>
      </c>
      <c r="AC113" s="2">
        <f>SUMIFS(PERSALDATA!$H$2:$H$20871,PERSALDATA!$A$2:$A$20871,WORKING!A113,PERSALDATA!$D$2:$D$20871,WORKING!B113,PERSALDATA!$E$2:$E$20871,WORKING!C113)</f>
        <v>2044479.22</v>
      </c>
    </row>
    <row r="114" spans="1:29" x14ac:dyDescent="0.25">
      <c r="A114" s="2">
        <f>Results!$D$3</f>
        <v>27</v>
      </c>
      <c r="B114" s="2">
        <v>7</v>
      </c>
      <c r="C114" s="2">
        <v>10</v>
      </c>
      <c r="D114" s="62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>0.76144771682590418</v>
      </c>
      <c r="E114" s="62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>6.1772948079593916E-2</v>
      </c>
      <c r="F114" s="62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>2.1605911259702678E-2</v>
      </c>
      <c r="G114" s="69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>0</v>
      </c>
      <c r="H114" s="62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>3.2868170067195973E-2</v>
      </c>
      <c r="I114" s="62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>9.8987800629892708E-2</v>
      </c>
      <c r="J114" s="62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>2.2915762172160476E-2</v>
      </c>
      <c r="K114" s="62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>1.3250489167028706E-4</v>
      </c>
      <c r="L114" s="62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>0</v>
      </c>
      <c r="M114" s="62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>0</v>
      </c>
      <c r="N114" s="62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>2.6918607387992489E-4</v>
      </c>
      <c r="O114" s="62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>0</v>
      </c>
      <c r="P114" s="62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>0</v>
      </c>
      <c r="Q114" s="62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>0</v>
      </c>
      <c r="R114" s="62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>0</v>
      </c>
      <c r="S114" s="62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>0</v>
      </c>
      <c r="T114" s="62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>0</v>
      </c>
      <c r="U114" s="62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>0</v>
      </c>
      <c r="V114" s="62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>0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7.4818105125203344E-2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7.0276963438410917E-2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6.927696343841093E-2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6.7276963438410914E-2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1.4180901206721466E-2</v>
      </c>
      <c r="AB114" s="2">
        <f>SUMIFS(PERSALDATA!$G$2:$G$20871,PERSALDATA!$A$2:$A$20871,WORKING!A114,PERSALDATA!$D$2:$D$20871,WORKING!B114,PERSALDATA!$E$2:$E$20871,WORKING!C114,PERSALDATA!$F$2:$F$20871,"S&amp;W: BASIC SALARY (RES)")</f>
        <v>28</v>
      </c>
      <c r="AC114" s="2">
        <f>SUMIFS(PERSALDATA!$H$2:$H$20871,PERSALDATA!$A$2:$A$20871,WORKING!A114,PERSALDATA!$D$2:$D$20871,WORKING!B114,PERSALDATA!$E$2:$E$20871,WORKING!C114)</f>
        <v>14079480.209999999</v>
      </c>
    </row>
    <row r="115" spans="1:29" x14ac:dyDescent="0.25">
      <c r="A115" s="2">
        <f>Results!$D$3</f>
        <v>27</v>
      </c>
      <c r="B115" s="2">
        <v>7</v>
      </c>
      <c r="C115" s="2">
        <v>11</v>
      </c>
      <c r="D115" s="62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>0.6734408366324055</v>
      </c>
      <c r="E115" s="62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>6.0476074437940182E-2</v>
      </c>
      <c r="F115" s="62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>2.9492489575105189E-2</v>
      </c>
      <c r="G115" s="69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>0</v>
      </c>
      <c r="H115" s="62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>1.9483021354721953E-2</v>
      </c>
      <c r="I115" s="62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>8.7547062056474834E-2</v>
      </c>
      <c r="J115" s="62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>1.4289259697776837E-2</v>
      </c>
      <c r="K115" s="62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>1.0312009446298023E-4</v>
      </c>
      <c r="L115" s="62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>0</v>
      </c>
      <c r="M115" s="62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>8.5113991725977931E-2</v>
      </c>
      <c r="N115" s="62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>3.0054144425134606E-2</v>
      </c>
      <c r="O115" s="62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>0</v>
      </c>
      <c r="P115" s="62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>0</v>
      </c>
      <c r="Q115" s="62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>0</v>
      </c>
      <c r="R115" s="62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>0</v>
      </c>
      <c r="S115" s="62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>0</v>
      </c>
      <c r="T115" s="62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>0</v>
      </c>
      <c r="U115" s="62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>0</v>
      </c>
      <c r="V115" s="62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>0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1.426382053463565E-2</v>
      </c>
      <c r="AB115" s="2">
        <f>SUMIFS(PERSALDATA!$G$2:$G$20871,PERSALDATA!$A$2:$A$20871,WORKING!A115,PERSALDATA!$D$2:$D$20871,WORKING!B115,PERSALDATA!$E$2:$E$20871,WORKING!C115,PERSALDATA!$F$2:$F$20871,"S&amp;W: BASIC SALARY (RES)")</f>
        <v>5</v>
      </c>
      <c r="AC115" s="2">
        <f>SUMIFS(PERSALDATA!$H$2:$H$20871,PERSALDATA!$A$2:$A$20871,WORKING!A115,PERSALDATA!$D$2:$D$20871,WORKING!B115,PERSALDATA!$E$2:$E$20871,WORKING!C115)</f>
        <v>3787913.52</v>
      </c>
    </row>
    <row r="116" spans="1:29" x14ac:dyDescent="0.25">
      <c r="A116" s="2">
        <f>Results!$D$3</f>
        <v>27</v>
      </c>
      <c r="B116" s="2">
        <v>7</v>
      </c>
      <c r="C116" s="2">
        <v>12</v>
      </c>
      <c r="D116" s="62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>0.68475076549125191</v>
      </c>
      <c r="E116" s="62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>4.6733086498444688E-2</v>
      </c>
      <c r="F116" s="62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>1.7871439270841893E-2</v>
      </c>
      <c r="G116" s="69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>0</v>
      </c>
      <c r="H116" s="62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>1.2897520825679928E-2</v>
      </c>
      <c r="I116" s="62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>8.9017376967176168E-2</v>
      </c>
      <c r="J116" s="62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>2.9825376250475537E-2</v>
      </c>
      <c r="K116" s="62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>8.8628434317154824E-5</v>
      </c>
      <c r="L116" s="62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>0</v>
      </c>
      <c r="M116" s="62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>0.11881580626181275</v>
      </c>
      <c r="N116" s="62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>0</v>
      </c>
      <c r="O116" s="62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>0</v>
      </c>
      <c r="P116" s="62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>0</v>
      </c>
      <c r="Q116" s="62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>0</v>
      </c>
      <c r="R116" s="62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>0</v>
      </c>
      <c r="S116" s="62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>0</v>
      </c>
      <c r="T116" s="62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>0</v>
      </c>
      <c r="U116" s="62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>0</v>
      </c>
      <c r="V116" s="62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>0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1.4537136172037416E-2</v>
      </c>
      <c r="AB116" s="2">
        <f>SUMIFS(PERSALDATA!$G$2:$G$20871,PERSALDATA!$A$2:$A$20871,WORKING!A116,PERSALDATA!$D$2:$D$20871,WORKING!B116,PERSALDATA!$E$2:$E$20871,WORKING!C116,PERSALDATA!$F$2:$F$20871,"S&amp;W: BASIC SALARY (RES)")</f>
        <v>8</v>
      </c>
      <c r="AC116" s="2">
        <f>SUMIFS(PERSALDATA!$H$2:$H$20871,PERSALDATA!$A$2:$A$20871,WORKING!A116,PERSALDATA!$D$2:$D$20871,WORKING!B116,PERSALDATA!$E$2:$E$20871,WORKING!C116)</f>
        <v>6380683.6299999999</v>
      </c>
    </row>
    <row r="117" spans="1:29" x14ac:dyDescent="0.25">
      <c r="A117" s="2">
        <f>Results!$D$3</f>
        <v>27</v>
      </c>
      <c r="B117" s="2">
        <v>7</v>
      </c>
      <c r="C117" s="2">
        <v>13</v>
      </c>
      <c r="D117" s="62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>0.65121898948635415</v>
      </c>
      <c r="E117" s="62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>5.3124852599724708E-2</v>
      </c>
      <c r="F117" s="62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>3.6884078500956242E-2</v>
      </c>
      <c r="G117" s="69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>0</v>
      </c>
      <c r="H117" s="62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>1.1237619265489373E-2</v>
      </c>
      <c r="I117" s="62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>8.4658257600116277E-2</v>
      </c>
      <c r="J117" s="62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>1.8021973681757879E-2</v>
      </c>
      <c r="K117" s="62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>7.589270592187175E-5</v>
      </c>
      <c r="L117" s="62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>0</v>
      </c>
      <c r="M117" s="62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>0.13590160664811352</v>
      </c>
      <c r="N117" s="62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>8.8767295115659995E-3</v>
      </c>
      <c r="O117" s="62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>0</v>
      </c>
      <c r="P117" s="62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>0</v>
      </c>
      <c r="Q117" s="62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>0</v>
      </c>
      <c r="R117" s="62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>0</v>
      </c>
      <c r="S117" s="62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>0</v>
      </c>
      <c r="T117" s="62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>0</v>
      </c>
      <c r="U117" s="62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>0</v>
      </c>
      <c r="V117" s="62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>0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1.4277036142914489E-2</v>
      </c>
      <c r="AB117" s="2">
        <f>SUMIFS(PERSALDATA!$G$2:$G$20871,PERSALDATA!$A$2:$A$20871,WORKING!A117,PERSALDATA!$D$2:$D$20871,WORKING!B117,PERSALDATA!$E$2:$E$20871,WORKING!C117,PERSALDATA!$F$2:$F$20871,"S&amp;W: BASIC SALARY (RES)")</f>
        <v>11</v>
      </c>
      <c r="AC117" s="2">
        <f>SUMIFS(PERSALDATA!$H$2:$H$20871,PERSALDATA!$A$2:$A$20871,WORKING!A117,PERSALDATA!$D$2:$D$20871,WORKING!B117,PERSALDATA!$E$2:$E$20871,WORKING!C117)</f>
        <v>10831475.700000001</v>
      </c>
    </row>
    <row r="118" spans="1:29" x14ac:dyDescent="0.25">
      <c r="A118" s="2">
        <f>Results!$D$3</f>
        <v>27</v>
      </c>
      <c r="B118" s="2">
        <v>7</v>
      </c>
      <c r="C118" s="2">
        <v>14</v>
      </c>
      <c r="D118" s="62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>0.62782349123419412</v>
      </c>
      <c r="E118" s="62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>6.4834655440713859E-2</v>
      </c>
      <c r="F118" s="62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>3.4803013815860095E-2</v>
      </c>
      <c r="G118" s="69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>0</v>
      </c>
      <c r="H118" s="62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>1.7936685731299369E-2</v>
      </c>
      <c r="I118" s="62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>8.1616899877169385E-2</v>
      </c>
      <c r="J118" s="62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>5.7179674188206188E-3</v>
      </c>
      <c r="K118" s="62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>6.4811509491069329E-5</v>
      </c>
      <c r="L118" s="62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>0</v>
      </c>
      <c r="M118" s="62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>0.16720247497245141</v>
      </c>
      <c r="N118" s="62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>0</v>
      </c>
      <c r="O118" s="62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>0</v>
      </c>
      <c r="P118" s="62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>0</v>
      </c>
      <c r="Q118" s="62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>0</v>
      </c>
      <c r="R118" s="62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>0</v>
      </c>
      <c r="S118" s="62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>0</v>
      </c>
      <c r="T118" s="62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>0</v>
      </c>
      <c r="U118" s="62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>0</v>
      </c>
      <c r="V118" s="62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>0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1.420793233415024E-2</v>
      </c>
      <c r="AB118" s="2">
        <f>SUMIFS(PERSALDATA!$G$2:$G$20871,PERSALDATA!$A$2:$A$20871,WORKING!A118,PERSALDATA!$D$2:$D$20871,WORKING!B118,PERSALDATA!$E$2:$E$20871,WORKING!C118,PERSALDATA!$F$2:$F$20871,"S&amp;W: BASIC SALARY (RES)")</f>
        <v>4</v>
      </c>
      <c r="AC118" s="2">
        <f>SUMIFS(PERSALDATA!$H$2:$H$20871,PERSALDATA!$A$2:$A$20871,WORKING!A118,PERSALDATA!$D$2:$D$20871,WORKING!B118,PERSALDATA!$E$2:$E$20871,WORKING!C118)</f>
        <v>3508173.1900000004</v>
      </c>
    </row>
    <row r="119" spans="1:29" x14ac:dyDescent="0.25">
      <c r="A119" s="2">
        <f>Results!$D$3</f>
        <v>27</v>
      </c>
      <c r="B119" s="2">
        <v>7</v>
      </c>
      <c r="C119" s="2">
        <v>15</v>
      </c>
      <c r="D119" s="62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>0.58506293756662997</v>
      </c>
      <c r="E119" s="62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>0</v>
      </c>
      <c r="F119" s="62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>0</v>
      </c>
      <c r="G119" s="69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>0</v>
      </c>
      <c r="H119" s="62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>2.0784224785332886E-2</v>
      </c>
      <c r="I119" s="62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>7.6058056461615772E-2</v>
      </c>
      <c r="J119" s="62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>1.8212132174560042E-2</v>
      </c>
      <c r="K119" s="62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>5.2229323490728756E-5</v>
      </c>
      <c r="L119" s="62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>0</v>
      </c>
      <c r="M119" s="62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>0.29319947555965908</v>
      </c>
      <c r="N119" s="62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>0</v>
      </c>
      <c r="O119" s="62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>0</v>
      </c>
      <c r="P119" s="62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>6.6309441287114475E-3</v>
      </c>
      <c r="Q119" s="62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>0</v>
      </c>
      <c r="R119" s="62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>0</v>
      </c>
      <c r="S119" s="62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>0</v>
      </c>
      <c r="T119" s="62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>0</v>
      </c>
      <c r="U119" s="62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>0</v>
      </c>
      <c r="V119" s="62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>0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1.4687453188367646E-2</v>
      </c>
      <c r="AB119" s="2">
        <f>SUMIFS(PERSALDATA!$G$2:$G$20871,PERSALDATA!$A$2:$A$20871,WORKING!A119,PERSALDATA!$D$2:$D$20871,WORKING!B119,PERSALDATA!$E$2:$E$20871,WORKING!C119,PERSALDATA!$F$2:$F$20871,"S&amp;W: BASIC SALARY (RES)")</f>
        <v>1</v>
      </c>
      <c r="AC119" s="2">
        <f>SUMIFS(PERSALDATA!$H$2:$H$20871,PERSALDATA!$A$2:$A$20871,WORKING!A119,PERSALDATA!$D$2:$D$20871,WORKING!B119,PERSALDATA!$E$2:$E$20871,WORKING!C119)</f>
        <v>1339477.4300000002</v>
      </c>
    </row>
    <row r="120" spans="1:29" x14ac:dyDescent="0.25">
      <c r="A120" s="2">
        <f>Results!$D$3</f>
        <v>27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27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27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27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27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27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27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27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27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27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27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27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27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27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27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27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27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27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27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27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27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27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27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27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27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27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27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27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27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27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27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27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27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27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27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27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27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27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27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27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27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27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27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27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27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27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27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27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27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27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27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27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27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27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27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27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27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27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27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27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27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27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27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27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27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27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27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27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27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27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27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27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27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27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27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27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27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27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27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27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27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27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27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27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27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27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27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27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27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27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27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27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27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27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27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27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27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27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27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27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27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27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27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27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27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27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27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27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27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27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27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27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27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27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27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27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27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27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27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27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27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27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27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27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27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27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27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27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27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27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27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27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27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27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27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27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27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27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27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27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27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27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27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27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27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27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27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27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27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27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27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27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27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27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27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27</v>
      </c>
      <c r="E3" s="74" t="str">
        <f>INDEX(MAPs!$I$7:$J$54,MATCH(Results!$D$3,MAPs!$I$7:$I$54,0),2)</f>
        <v>Environmental Affairs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788.66137040714989</v>
      </c>
      <c r="N9" s="148">
        <f>IFERROR(SUMIFS('Employee Profile (2)'!C$4:C$50,'Employee Profile (2)'!$B$4:$B$50,Results!$D$3),"")</f>
        <v>0.4116186693147964</v>
      </c>
      <c r="O9" s="150" t="s">
        <v>620</v>
      </c>
      <c r="P9" s="143">
        <f>IFERROR(INDEX('Employee Profile (2)'!$AC$4:$AC$50,MATCH(Results!$D$3,'Employee Profile (2)'!$B$4:$B$50,0))*$Q9,"")</f>
        <v>1375.6385302879839</v>
      </c>
      <c r="Q9" s="148">
        <f>IFERROR(SUMIFS('Employee Profile (2)'!J$4:J$50,'Employee Profile (2)'!$B$4:$B$50,Results!$D$3),"")</f>
        <v>0.71797418073485597</v>
      </c>
      <c r="R9" s="150" t="s">
        <v>627</v>
      </c>
      <c r="S9" s="144">
        <f>IFERROR(INDEX('Employee Profile (2)'!$AC$4:$AC$50,MATCH(Results!$D$3,'Employee Profile (2)'!$B$4:$B$50,0))*$T9,"")</f>
        <v>72.301886792452834</v>
      </c>
      <c r="T9" s="147">
        <f>IFERROR(SUMIFS('Employee Profile (2)'!N$4:N$50,'Employee Profile (2)'!$B$4:$B$50,Results!$D$3),"")</f>
        <v>3.7735849056603772E-2</v>
      </c>
      <c r="U9" s="150" t="s">
        <v>632</v>
      </c>
      <c r="V9" s="144">
        <f>IFERROR(INDEX('Employee Profile (2)'!$AC$4:$AC$50,MATCH(Results!$D$3,'Employee Profile (2)'!$B$4:$B$50,0))*$W9,"")</f>
        <v>975.12413108242299</v>
      </c>
      <c r="W9" s="147">
        <f>IFERROR(SUMIFS('Employee Profile (2)'!S$4:S$50,'Employee Profile (2)'!$B$4:$B$50,Results!$D$3),"")</f>
        <v>0.50893743793445878</v>
      </c>
      <c r="X9" s="150" t="s">
        <v>635</v>
      </c>
      <c r="Y9" s="144">
        <f>IFERROR(INDEX('Employee Profile (2)'!$AC$4:$AC$50,MATCH(Results!$D$3,'Employee Profile (2)'!$B$4:$B$50,0))*$Z9,"")</f>
        <v>1406.0814299900696</v>
      </c>
      <c r="Z9" s="147">
        <f>IFERROR(SUMIFS('Employee Profile (2)'!V$4:V$50,'Employee Profile (2)'!$B$4:$B$50,Results!$D$3),"")</f>
        <v>0.733862959285005</v>
      </c>
      <c r="AA9" s="150" t="s">
        <v>675</v>
      </c>
      <c r="AB9" s="144">
        <f>IFERROR(SUMIFS('Employee Profile (2)'!$AD$4:$AD$50,'Employee Profile (2)'!$B$4:$B$50,Results!$D$3),"")</f>
        <v>737</v>
      </c>
      <c r="AC9" s="147">
        <f>IFERROR(SUMIFS('Employee Profile (2)'!$AE$4:$AE$50,'Employee Profile (2)'!$B$4:$B$50,Results!$D$3),"")</f>
        <v>0.3846555323590814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780.09930486593839</v>
      </c>
      <c r="N10" s="148">
        <f>IFERROR(SUMIFS('Employee Profile (2)'!D$4:D$50,'Employee Profile (2)'!$B$4:$B$50,Results!$D$3),"")</f>
        <v>0.40714995034756701</v>
      </c>
      <c r="O10" s="150" t="s">
        <v>621</v>
      </c>
      <c r="P10" s="143">
        <f>IFERROR(INDEX('Employee Profile (2)'!$AC$4:$AC$50,MATCH(Results!$D$3,'Employee Profile (2)'!$B$4:$B$50,0))*$Q10,"")</f>
        <v>418.5898709036743</v>
      </c>
      <c r="Q10" s="148">
        <f>IFERROR(SUMIFS('Employee Profile (2)'!K$4:K$50,'Employee Profile (2)'!$B$4:$B$50,Results!$D$3),"")</f>
        <v>0.21847070506454816</v>
      </c>
      <c r="R10" s="150" t="s">
        <v>628</v>
      </c>
      <c r="S10" s="144">
        <f>IFERROR(INDEX('Employee Profile (2)'!$AC$4:$AC$50,MATCH(Results!$D$3,'Employee Profile (2)'!$B$4:$B$50,0))*$T10,"")</f>
        <v>577.46375372393254</v>
      </c>
      <c r="T10" s="147">
        <f>IFERROR(SUMIFS('Employee Profile (2)'!O$4:O$50,'Employee Profile (2)'!$B$4:$B$50,Results!$D$3),"")</f>
        <v>0.30139026812313807</v>
      </c>
      <c r="U10" s="150" t="s">
        <v>633</v>
      </c>
      <c r="V10" s="144">
        <f>IFERROR(INDEX('Employee Profile (2)'!$AC$4:$AC$50,MATCH(Results!$D$3,'Employee Profile (2)'!$B$4:$B$50,0))*$W10,"")</f>
        <v>800.077457795432</v>
      </c>
      <c r="W10" s="147">
        <f>IFERROR(SUMIFS('Employee Profile (2)'!T$4:T$50,'Employee Profile (2)'!$B$4:$B$50,Results!$D$3),"")</f>
        <v>0.41757696127110228</v>
      </c>
      <c r="X10" s="150" t="s">
        <v>636</v>
      </c>
      <c r="Y10" s="144">
        <f>IFERROR(INDEX('Employee Profile (2)'!$AC$4:$AC$50,MATCH(Results!$D$3,'Employee Profile (2)'!$B$4:$B$50,0))*$Z10,"")</f>
        <v>133.18768619662362</v>
      </c>
      <c r="Z10" s="147">
        <f>IFERROR(SUMIFS('Employee Profile (2)'!W$4:W$50,'Employee Profile (2)'!$B$4:$B$50,Results!$D$3),"")</f>
        <v>6.9513406156901686E-2</v>
      </c>
      <c r="AA10" s="150" t="s">
        <v>676</v>
      </c>
      <c r="AB10" s="144">
        <f>IFERROR(INDEX('Employee Profile (2)'!$AC$4:$AC$50,MATCH(Results!$D$3,'Employee Profile (2)'!$B$4:$B$50))-$AB$9,"")</f>
        <v>1179</v>
      </c>
      <c r="AC10" s="147">
        <f>IFERROR(100%-$AC$9,"")</f>
        <v>0.61534446764091855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105.59880834160873</v>
      </c>
      <c r="N11" s="148">
        <f>IFERROR(SUMIFS('Employee Profile (2)'!E$4:E$50,'Employee Profile (2)'!$B$4:$B$50,Results!$D$3),"")</f>
        <v>5.5114200595829194E-2</v>
      </c>
      <c r="O11" s="150" t="s">
        <v>622</v>
      </c>
      <c r="P11" s="143">
        <f>IFERROR(INDEX('Employee Profile (2)'!$AC$4:$AC$50,MATCH(Results!$D$3,'Employee Profile (2)'!$B$4:$B$50,0))*$Q11,"")</f>
        <v>88.474677259185697</v>
      </c>
      <c r="Q11" s="148">
        <f>IFERROR(SUMIFS('Employee Profile (2)'!L$4:L$50,'Employee Profile (2)'!$B$4:$B$50,Results!$D$3),"")</f>
        <v>4.6176762661370406E-2</v>
      </c>
      <c r="R11" s="150" t="s">
        <v>629</v>
      </c>
      <c r="S11" s="144">
        <f>IFERROR(INDEX('Employee Profile (2)'!$AC$4:$AC$50,MATCH(Results!$D$3,'Employee Profile (2)'!$B$4:$B$50,0))*$T11,"")</f>
        <v>690.6732869910627</v>
      </c>
      <c r="T11" s="147">
        <f>IFERROR(SUMIFS('Employee Profile (2)'!P$4:P$50,'Employee Profile (2)'!$B$4:$B$50,Results!$D$3),"")</f>
        <v>0.36047666335650452</v>
      </c>
      <c r="U11" s="150" t="s">
        <v>53</v>
      </c>
      <c r="V11" s="144">
        <f>IFERROR(INDEX('Employee Profile (2)'!$AC$4:$AC$50,MATCH(Results!$D$3,'Employee Profile (2)'!$B$4:$B$50,0))*$W11,"")</f>
        <v>140.79841112214498</v>
      </c>
      <c r="W11" s="147">
        <f>IFERROR(SUMIFS('Employee Profile (2)'!U$4:U$50,'Employee Profile (2)'!$B$4:$B$50,Results!$D$3),"")</f>
        <v>7.3485600794438929E-2</v>
      </c>
      <c r="X11" s="150" t="s">
        <v>637</v>
      </c>
      <c r="Y11" s="144">
        <f>IFERROR(INDEX('Employee Profile (2)'!$AC$4:$AC$50,MATCH(Results!$D$3,'Employee Profile (2)'!$B$4:$B$50,0))*$Z11,"")</f>
        <v>58.983118172790469</v>
      </c>
      <c r="Z11" s="147">
        <f>IFERROR(SUMIFS('Employee Profile (2)'!X$4:X$50,'Employee Profile (2)'!$B$4:$B$50,Results!$D$3),"")</f>
        <v>3.0784508440913606E-2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6</v>
      </c>
      <c r="J12" s="158">
        <v>1</v>
      </c>
      <c r="L12" s="150" t="s">
        <v>659</v>
      </c>
      <c r="M12" s="143">
        <f>IFERROR(INDEX('Employee Profile (2)'!$AC$4:$AC$50,MATCH(Results!$D$3,'Employee Profile (2)'!$B$4:$B$50,0))*$N12,"")</f>
        <v>58.031777557100298</v>
      </c>
      <c r="N12" s="148">
        <f>IFERROR(SUMIFS('Employee Profile (2)'!F$4:F$50,'Employee Profile (2)'!$B$4:$B$50,Results!$D$3),"")</f>
        <v>3.0287984111221449E-2</v>
      </c>
      <c r="O12" s="150" t="s">
        <v>623</v>
      </c>
      <c r="P12" s="143">
        <f>IFERROR(INDEX('Employee Profile (2)'!$AC$4:$AC$50,MATCH(Results!$D$3,'Employee Profile (2)'!$B$4:$B$50,0))*$Q12,"")</f>
        <v>33.296921549155904</v>
      </c>
      <c r="Q12" s="148">
        <f>IFERROR(SUMIFS('Employee Profile (2)'!M$4:M$50,'Employee Profile (2)'!$B$4:$B$50,Results!$D$3),"")</f>
        <v>1.7378351539225421E-2</v>
      </c>
      <c r="R12" s="150" t="s">
        <v>630</v>
      </c>
      <c r="S12" s="144">
        <f>IFERROR(INDEX('Employee Profile (2)'!$AC$4:$AC$50,MATCH(Results!$D$3,'Employee Profile (2)'!$B$4:$B$50,0))*$T12,"")</f>
        <v>97.988083416087377</v>
      </c>
      <c r="T12" s="147">
        <f>IFERROR(SUMIFS('Employee Profile (2)'!Q$4:Q$50,'Employee Profile (2)'!$B$4:$B$50,Results!$D$3),"")</f>
        <v>5.114200595829195E-2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176.94935451837139</v>
      </c>
      <c r="Z12" s="147">
        <f>IFERROR(SUMIFS('Employee Profile (2)'!Y$4:Y$50,'Employee Profile (2)'!$B$4:$B$50,Results!$D$3),"")</f>
        <v>9.2353525322740812E-2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25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39.956305858987093</v>
      </c>
      <c r="N13" s="148">
        <f>IFERROR(SUMIFS('Employee Profile (2)'!G$4:G$50,'Employee Profile (2)'!$B$4:$B$50,Results!$D$3),"")</f>
        <v>2.0854021847070508E-2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477.57298907646475</v>
      </c>
      <c r="T13" s="147">
        <f>IFERROR(SUMIFS('Employee Profile (2)'!R$4:R$50,'Employee Profile (2)'!$B$4:$B$50,Results!$D$3),"")</f>
        <v>0.24925521350546176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140.79841112214498</v>
      </c>
      <c r="Z13" s="147">
        <f>IFERROR(SUMIFS('Employee Profile (2)'!Z$4:Z$50,'Employee Profile (2)'!$B$4:$B$50,Results!$D$3),"")</f>
        <v>7.3485600794438929E-2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3.8053624627606752</v>
      </c>
      <c r="N14" s="148">
        <f>IFERROR(SUMIFS('Employee Profile (2)'!H$4:H$50,'Employee Profile (2)'!$B$4:$B$50,Results!$D$3),"")</f>
        <v>1.9860973187686196E-3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25</v>
      </c>
      <c r="I15" s="112">
        <f t="shared" si="0"/>
        <v>6</v>
      </c>
      <c r="J15" s="112">
        <f t="shared" si="0"/>
        <v>1</v>
      </c>
      <c r="L15" s="150" t="s">
        <v>53</v>
      </c>
      <c r="M15" s="143">
        <f>IFERROR(INDEX('Employee Profile (2)'!$AC$4:$AC$50,MATCH(Results!$D$3,'Employee Profile (2)'!$B$4:$B$50,0))*$N15,"")</f>
        <v>139.8470705064548</v>
      </c>
      <c r="N15" s="148">
        <f>IFERROR(SUMIFS('Employee Profile (2)'!I$4:I$50,'Employee Profile (2)'!$B$4:$B$50,Results!$D$3),"")</f>
        <v>7.2989076464746769E-2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25</v>
      </c>
      <c r="I16" s="82">
        <f>SUMIFS($AE$64:$AE$509,$C$64:$C$509,"Total")</f>
        <v>6</v>
      </c>
      <c r="J16" s="82">
        <f>SUMIFS($AM$64:$AM$509,$C$64:$C$509,"Total")</f>
        <v>1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932</v>
      </c>
      <c r="G29" s="87">
        <f t="shared" ref="G29:G44" si="4">SUMIFS($K$64:$K$509,$A$64:$A$509,B29,$C$64:$C$509,"Total")</f>
        <v>375.13090128755363</v>
      </c>
      <c r="H29" s="83">
        <f t="shared" ref="H29:H44" si="5">SUMIFS($J$64:$J$509,$A$64:$A$509,B29,$C$64:$C$509,"Total")</f>
        <v>349622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932</v>
      </c>
      <c r="K29" s="88">
        <f t="shared" ref="K29:K44" si="8">SUMIFS($M$64:$M$509,$A$64:$A$509,$B29,$C$64:$C$509,"Total")</f>
        <v>407.39871429982497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379695.60172743688</v>
      </c>
      <c r="N29" s="88">
        <f t="shared" ref="N29:N44" si="11">SUMIFS($S$64:$S$509,$A$64:$A$509,$B29,$C$64:$C$509,"Compensation Budget")</f>
        <v>385900</v>
      </c>
      <c r="O29" s="89">
        <f t="shared" ref="O29:O44" si="12">SUMIFS($S$64:$S$509,$A$64:$A$509,$B29,$C$64:$C$509,"Under/(Over)")</f>
        <v>6204.3982725631213</v>
      </c>
      <c r="P29" s="21">
        <f t="shared" ref="P29:P44" si="13">-SUMIFS($W$64:$W$509,$A$64:$A$509,$B29,$C$64:$C$509,"Total")+SUMIFS($V$64:$V$509,$A$64:$A$509,$B29,$C$64:$C$509,"Total")</f>
        <v>-8</v>
      </c>
      <c r="Q29" s="88">
        <f t="shared" ref="Q29:Q44" si="14">SUMIFS($X$64:$X$509,$A$64:$A$509,$B29,$C$64:$C$509,"Total")</f>
        <v>924</v>
      </c>
      <c r="R29" s="88">
        <f t="shared" ref="R29:R44" si="15">SUMIFS($U$64:$U$509,$A$64:$A$509,$B29,$C$64:$C$509,"Total")</f>
        <v>440.32569440538413</v>
      </c>
      <c r="S29" s="88">
        <f t="shared" ref="S29:S44" si="16">SUMIFS($Z$64:$Z$509,$A$64:$A$509,$B29,$C$64:$C$509,"Total")+SUMIFS($Y$64:$Y$509,$A$64:$A$509,$B29,$C$64:$C$509,"Total")</f>
        <v>-4415.7065430282655</v>
      </c>
      <c r="T29" s="88">
        <f t="shared" ref="T29:T44" si="17">SUMIFS($AA$64:$AA$509,$A$64:$A$509,$B29,$C$64:$C$509,"Total")</f>
        <v>406860.94163057493</v>
      </c>
      <c r="U29" s="88">
        <f t="shared" ref="U29:U44" si="18">SUMIFS($AA$64:$AA$509,$A$64:$A$509,$B29,$C$64:$C$509,"Compensation Budget")</f>
        <v>440320</v>
      </c>
      <c r="V29" s="89">
        <f t="shared" ref="V29:V44" si="19">SUMIFS($AA$64:$AA$509,$A$64:$A$509,$B29,$C$64:$C$509,"Under/(Over)")</f>
        <v>33459.058369425067</v>
      </c>
      <c r="W29" s="21">
        <f t="shared" ref="W29:W44" si="20">-SUMIFS($AE$64:$AE$509,$A$64:$A$509,$B29,$C$64:$C$509,"Total")+SUMIFS($AD$64:$AD$509,$A$64:$A$509,$B29,$C$64:$C$509,"Total")</f>
        <v>-2</v>
      </c>
      <c r="X29" s="88">
        <f t="shared" ref="X29:X44" si="21">SUMIFS($AF$64:$AF$509,$A$64:$A$509,$B29,$C$64:$C$509,"Total")</f>
        <v>922</v>
      </c>
      <c r="Y29" s="88">
        <f t="shared" ref="Y29:Y44" si="22">SUMIFS($AC$64:$AC$509,$A$64:$A$509,$B29,$C$64:$C$509,"Total")</f>
        <v>476.43557027972145</v>
      </c>
      <c r="Z29" s="88">
        <f t="shared" ref="Z29:Z44" si="23">SUMIFS($AH$64:$AH$509,$A$64:$A$509,$B29,$C$64:$C$509,"Total")+SUMIFS($AG$64:$AG$509,$A$64:$A$509,$B29,$C$64:$C$509,"Total")</f>
        <v>-1022.800814017183</v>
      </c>
      <c r="AA29" s="88">
        <f t="shared" ref="AA29:AA44" si="24">SUMIFS($AI$64:$AI$509,$A$64:$A$509,$B29,$C$64:$C$509,"Total")</f>
        <v>439273.5957979032</v>
      </c>
      <c r="AB29" s="88">
        <f t="shared" ref="AB29:AB44" si="25">SUMIFS($AI$64:$AI$509,$A$64:$A$509,$B29,$C$64:$C$509,"Compensation Budget")</f>
        <v>475867</v>
      </c>
      <c r="AC29" s="89">
        <f t="shared" ref="AC29:AC44" si="26">SUMIFS($AI$64:$AI$509,$A$64:$A$509,$B29,$C$64:$C$509,"Under/(Over)")</f>
        <v>36593.404202096805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921</v>
      </c>
      <c r="AF29" s="88">
        <f t="shared" ref="AF29:AF44" si="29">SUMIFS($AK$64:$AK$509,$A$64:$A$509,$B29,$C$64:$C$509,"Total")</f>
        <v>514.22544003751364</v>
      </c>
      <c r="AG29" s="88">
        <f t="shared" ref="AG29:AG44" si="30">SUMIFS($AP$64:$AP$509,$A$64:$A$509,$B29,$C$64:$C$509,"Total")+SUMIFS($AO$64:$AO$509,$A$64:$A$509,$B29,$C$64:$C$509,"Total")</f>
        <v>-884.72295634090813</v>
      </c>
      <c r="AH29" s="88">
        <f t="shared" ref="AH29:AH44" si="31">SUMIFS($AQ$64:$AQ$509,$A$64:$A$509,$B29,$C$64:$C$509,"Total")</f>
        <v>473601.63027455006</v>
      </c>
      <c r="AI29" s="88">
        <f t="shared" ref="AI29:AI44" si="32">SUMIFS($AQ$64:$AQ$509,$A$64:$A$509,$B29,$C$64:$C$509,"Compensation Budget")</f>
        <v>512032.89200000005</v>
      </c>
      <c r="AJ29" s="89">
        <f t="shared" ref="AJ29:AJ44" si="33">SUMIFS($AQ$64:$AQ$509,$A$64:$A$509,$B29,$C$64:$C$509,"Under/(Over)")</f>
        <v>38431.261725449993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Legal, Authorisations and Compliance</v>
      </c>
      <c r="D30" s="222">
        <f t="shared" si="2"/>
        <v>0</v>
      </c>
      <c r="E30" s="223">
        <f t="shared" si="2"/>
        <v>0</v>
      </c>
      <c r="F30" s="80">
        <f t="shared" si="3"/>
        <v>169</v>
      </c>
      <c r="G30" s="155">
        <f t="shared" si="4"/>
        <v>539.57988165680479</v>
      </c>
      <c r="H30" s="155">
        <f t="shared" si="5"/>
        <v>91189</v>
      </c>
      <c r="I30" s="23">
        <f t="shared" si="6"/>
        <v>0</v>
      </c>
      <c r="J30" s="22">
        <f t="shared" si="7"/>
        <v>169</v>
      </c>
      <c r="K30" s="22">
        <f t="shared" si="8"/>
        <v>583.03623601730862</v>
      </c>
      <c r="L30" s="22">
        <f t="shared" si="9"/>
        <v>0</v>
      </c>
      <c r="M30" s="22">
        <f t="shared" si="10"/>
        <v>98533.123886925154</v>
      </c>
      <c r="N30" s="22">
        <f t="shared" si="11"/>
        <v>106463</v>
      </c>
      <c r="O30" s="91">
        <f t="shared" si="12"/>
        <v>7929.8761130748462</v>
      </c>
      <c r="P30" s="23">
        <f t="shared" si="13"/>
        <v>0</v>
      </c>
      <c r="Q30" s="22">
        <f t="shared" si="14"/>
        <v>169</v>
      </c>
      <c r="R30" s="22">
        <f t="shared" si="15"/>
        <v>631.5325998430186</v>
      </c>
      <c r="S30" s="22">
        <f t="shared" si="16"/>
        <v>0</v>
      </c>
      <c r="T30" s="22">
        <f t="shared" si="17"/>
        <v>106729.00937347014</v>
      </c>
      <c r="U30" s="22">
        <f t="shared" si="18"/>
        <v>113194</v>
      </c>
      <c r="V30" s="91">
        <f t="shared" si="19"/>
        <v>6464.9906265298632</v>
      </c>
      <c r="W30" s="23">
        <f t="shared" si="20"/>
        <v>0</v>
      </c>
      <c r="X30" s="22">
        <f t="shared" si="21"/>
        <v>169</v>
      </c>
      <c r="Y30" s="22">
        <f t="shared" si="22"/>
        <v>683.43226594058933</v>
      </c>
      <c r="Z30" s="22">
        <f t="shared" si="23"/>
        <v>0</v>
      </c>
      <c r="AA30" s="22">
        <f t="shared" si="24"/>
        <v>115500.0529439596</v>
      </c>
      <c r="AB30" s="22">
        <f t="shared" si="25"/>
        <v>119806</v>
      </c>
      <c r="AC30" s="91">
        <f t="shared" si="26"/>
        <v>4305.9470560404006</v>
      </c>
      <c r="AD30" s="23">
        <f t="shared" si="27"/>
        <v>0</v>
      </c>
      <c r="AE30" s="22">
        <f t="shared" si="28"/>
        <v>169</v>
      </c>
      <c r="AF30" s="22">
        <f t="shared" si="29"/>
        <v>738.22143329190476</v>
      </c>
      <c r="AG30" s="22">
        <f t="shared" si="30"/>
        <v>0</v>
      </c>
      <c r="AH30" s="22">
        <f t="shared" si="31"/>
        <v>124759.42222633191</v>
      </c>
      <c r="AI30" s="22">
        <f t="shared" si="32"/>
        <v>128911.25600000001</v>
      </c>
      <c r="AJ30" s="91">
        <f t="shared" si="33"/>
        <v>4151.8337736680987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Oceans and Coasts</v>
      </c>
      <c r="D31" s="222">
        <f t="shared" si="2"/>
        <v>0</v>
      </c>
      <c r="E31" s="223">
        <f t="shared" si="2"/>
        <v>0</v>
      </c>
      <c r="F31" s="80">
        <f t="shared" si="3"/>
        <v>209</v>
      </c>
      <c r="G31" s="155">
        <f t="shared" si="4"/>
        <v>478.07655502392345</v>
      </c>
      <c r="H31" s="155">
        <f t="shared" si="5"/>
        <v>99918</v>
      </c>
      <c r="I31" s="23">
        <f t="shared" si="6"/>
        <v>0</v>
      </c>
      <c r="J31" s="22">
        <f t="shared" si="7"/>
        <v>209</v>
      </c>
      <c r="K31" s="22">
        <f t="shared" si="8"/>
        <v>518.24575257803247</v>
      </c>
      <c r="L31" s="22">
        <f t="shared" si="9"/>
        <v>0</v>
      </c>
      <c r="M31" s="22">
        <f t="shared" si="10"/>
        <v>108313.36228880878</v>
      </c>
      <c r="N31" s="22">
        <f t="shared" si="11"/>
        <v>110662</v>
      </c>
      <c r="O31" s="91">
        <f t="shared" si="12"/>
        <v>2348.6377111912152</v>
      </c>
      <c r="P31" s="23">
        <f t="shared" si="13"/>
        <v>0</v>
      </c>
      <c r="Q31" s="22">
        <f t="shared" si="14"/>
        <v>209</v>
      </c>
      <c r="R31" s="22">
        <f t="shared" si="15"/>
        <v>561.8058120316382</v>
      </c>
      <c r="S31" s="22">
        <f t="shared" si="16"/>
        <v>0</v>
      </c>
      <c r="T31" s="22">
        <f t="shared" si="17"/>
        <v>117417.41471461239</v>
      </c>
      <c r="U31" s="22">
        <f t="shared" si="18"/>
        <v>106831</v>
      </c>
      <c r="V31" s="91">
        <f t="shared" si="19"/>
        <v>-10586.414714612387</v>
      </c>
      <c r="W31" s="23">
        <f t="shared" si="20"/>
        <v>-1</v>
      </c>
      <c r="X31" s="22">
        <f t="shared" si="21"/>
        <v>208</v>
      </c>
      <c r="Y31" s="22">
        <f t="shared" si="22"/>
        <v>608.79020771920727</v>
      </c>
      <c r="Z31" s="22">
        <f t="shared" si="23"/>
        <v>-540.73051666654408</v>
      </c>
      <c r="AA31" s="22">
        <f t="shared" si="24"/>
        <v>126628.36320559512</v>
      </c>
      <c r="AB31" s="22">
        <f t="shared" si="25"/>
        <v>110617</v>
      </c>
      <c r="AC31" s="91">
        <f t="shared" si="26"/>
        <v>-16011.363205595117</v>
      </c>
      <c r="AD31" s="23">
        <f t="shared" si="27"/>
        <v>0</v>
      </c>
      <c r="AE31" s="22">
        <f t="shared" si="28"/>
        <v>208</v>
      </c>
      <c r="AF31" s="22">
        <f t="shared" si="29"/>
        <v>658.11959813368173</v>
      </c>
      <c r="AG31" s="22">
        <f t="shared" si="30"/>
        <v>0</v>
      </c>
      <c r="AH31" s="22">
        <f t="shared" si="31"/>
        <v>136888.8764118058</v>
      </c>
      <c r="AI31" s="22">
        <f t="shared" si="32"/>
        <v>119023.89200000001</v>
      </c>
      <c r="AJ31" s="91">
        <f t="shared" si="33"/>
        <v>-17864.984411805795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Climate Change and Air Quality</v>
      </c>
      <c r="D32" s="222">
        <f t="shared" si="2"/>
        <v>0</v>
      </c>
      <c r="E32" s="223">
        <f t="shared" si="2"/>
        <v>0</v>
      </c>
      <c r="F32" s="80">
        <f t="shared" si="3"/>
        <v>89</v>
      </c>
      <c r="G32" s="155">
        <f t="shared" si="4"/>
        <v>601.50561797752812</v>
      </c>
      <c r="H32" s="155">
        <f t="shared" si="5"/>
        <v>53534</v>
      </c>
      <c r="I32" s="23">
        <f t="shared" si="6"/>
        <v>0</v>
      </c>
      <c r="J32" s="22">
        <f t="shared" si="7"/>
        <v>89</v>
      </c>
      <c r="K32" s="22">
        <f t="shared" si="8"/>
        <v>644.75439764352268</v>
      </c>
      <c r="L32" s="22">
        <f t="shared" si="9"/>
        <v>0</v>
      </c>
      <c r="M32" s="22">
        <f t="shared" si="10"/>
        <v>57383.141390273522</v>
      </c>
      <c r="N32" s="22">
        <f t="shared" si="11"/>
        <v>53691</v>
      </c>
      <c r="O32" s="91">
        <f t="shared" si="12"/>
        <v>-3692.1413902735221</v>
      </c>
      <c r="P32" s="23">
        <f t="shared" si="13"/>
        <v>-3</v>
      </c>
      <c r="Q32" s="22">
        <f t="shared" si="14"/>
        <v>86</v>
      </c>
      <c r="R32" s="22">
        <f t="shared" si="15"/>
        <v>712.1856672663497</v>
      </c>
      <c r="S32" s="22">
        <f t="shared" si="16"/>
        <v>-790.68939433448963</v>
      </c>
      <c r="T32" s="22">
        <f t="shared" si="17"/>
        <v>61247.967384906071</v>
      </c>
      <c r="U32" s="22">
        <f t="shared" si="18"/>
        <v>57067</v>
      </c>
      <c r="V32" s="91">
        <f t="shared" si="19"/>
        <v>-4180.9673849060709</v>
      </c>
      <c r="W32" s="23">
        <f t="shared" si="20"/>
        <v>0</v>
      </c>
      <c r="X32" s="22">
        <f t="shared" si="21"/>
        <v>86</v>
      </c>
      <c r="Y32" s="22">
        <f t="shared" si="22"/>
        <v>769.22184481539136</v>
      </c>
      <c r="Z32" s="22">
        <f t="shared" si="23"/>
        <v>0</v>
      </c>
      <c r="AA32" s="22">
        <f t="shared" si="24"/>
        <v>66153.078654123659</v>
      </c>
      <c r="AB32" s="22">
        <f t="shared" si="25"/>
        <v>60376</v>
      </c>
      <c r="AC32" s="91">
        <f t="shared" si="26"/>
        <v>-5777.0786541236594</v>
      </c>
      <c r="AD32" s="23">
        <f t="shared" si="27"/>
        <v>0</v>
      </c>
      <c r="AE32" s="22">
        <f t="shared" si="28"/>
        <v>86</v>
      </c>
      <c r="AF32" s="22">
        <f t="shared" si="29"/>
        <v>829.28239319370903</v>
      </c>
      <c r="AG32" s="22">
        <f t="shared" si="30"/>
        <v>0</v>
      </c>
      <c r="AH32" s="22">
        <f t="shared" si="31"/>
        <v>71318.285814658972</v>
      </c>
      <c r="AI32" s="22">
        <f t="shared" si="32"/>
        <v>64964.576000000001</v>
      </c>
      <c r="AJ32" s="91">
        <f t="shared" si="33"/>
        <v>-6353.7098146589706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Biodiversity and Conservation</v>
      </c>
      <c r="D33" s="222">
        <f t="shared" si="2"/>
        <v>0</v>
      </c>
      <c r="E33" s="223">
        <f t="shared" si="2"/>
        <v>0</v>
      </c>
      <c r="F33" s="80">
        <f t="shared" si="3"/>
        <v>123</v>
      </c>
      <c r="G33" s="155">
        <f t="shared" si="4"/>
        <v>513.33333333333337</v>
      </c>
      <c r="H33" s="155">
        <f t="shared" si="5"/>
        <v>63140</v>
      </c>
      <c r="I33" s="23">
        <f t="shared" si="6"/>
        <v>0</v>
      </c>
      <c r="J33" s="22">
        <f t="shared" si="7"/>
        <v>123</v>
      </c>
      <c r="K33" s="22">
        <f t="shared" si="8"/>
        <v>551.87438084404266</v>
      </c>
      <c r="L33" s="22">
        <f t="shared" si="9"/>
        <v>0</v>
      </c>
      <c r="M33" s="22">
        <f t="shared" si="10"/>
        <v>67880.548843817247</v>
      </c>
      <c r="N33" s="22">
        <f t="shared" si="11"/>
        <v>69013</v>
      </c>
      <c r="O33" s="91">
        <f t="shared" si="12"/>
        <v>1132.451156182753</v>
      </c>
      <c r="P33" s="23">
        <f t="shared" si="13"/>
        <v>-7</v>
      </c>
      <c r="Q33" s="22">
        <f t="shared" si="14"/>
        <v>116</v>
      </c>
      <c r="R33" s="22">
        <f t="shared" si="15"/>
        <v>616.16882380686025</v>
      </c>
      <c r="S33" s="22">
        <f t="shared" si="16"/>
        <v>-1965.2327180907803</v>
      </c>
      <c r="T33" s="22">
        <f t="shared" si="17"/>
        <v>71475.583561595791</v>
      </c>
      <c r="U33" s="22">
        <f t="shared" si="18"/>
        <v>73360</v>
      </c>
      <c r="V33" s="91">
        <f t="shared" si="19"/>
        <v>1884.4164384042087</v>
      </c>
      <c r="W33" s="23">
        <f t="shared" si="20"/>
        <v>0</v>
      </c>
      <c r="X33" s="22">
        <f t="shared" si="21"/>
        <v>116</v>
      </c>
      <c r="Y33" s="22">
        <f t="shared" si="22"/>
        <v>665.97614852472543</v>
      </c>
      <c r="Z33" s="22">
        <f t="shared" si="23"/>
        <v>0</v>
      </c>
      <c r="AA33" s="22">
        <f t="shared" si="24"/>
        <v>77253.23322886815</v>
      </c>
      <c r="AB33" s="22">
        <f t="shared" si="25"/>
        <v>77620</v>
      </c>
      <c r="AC33" s="91">
        <f t="shared" si="26"/>
        <v>366.76677113184996</v>
      </c>
      <c r="AD33" s="23">
        <f t="shared" si="27"/>
        <v>0</v>
      </c>
      <c r="AE33" s="22">
        <f t="shared" si="28"/>
        <v>116</v>
      </c>
      <c r="AF33" s="22">
        <f t="shared" si="29"/>
        <v>718.47223473304427</v>
      </c>
      <c r="AG33" s="22">
        <f t="shared" si="30"/>
        <v>0</v>
      </c>
      <c r="AH33" s="22">
        <f t="shared" si="31"/>
        <v>83342.779229033142</v>
      </c>
      <c r="AI33" s="22">
        <f t="shared" si="32"/>
        <v>83519.12000000001</v>
      </c>
      <c r="AJ33" s="91">
        <f t="shared" si="33"/>
        <v>176.34077096686815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Environmental Programmes</v>
      </c>
      <c r="D34" s="222">
        <f t="shared" si="2"/>
        <v>0</v>
      </c>
      <c r="E34" s="223">
        <f t="shared" si="2"/>
        <v>0</v>
      </c>
      <c r="F34" s="80">
        <f t="shared" si="3"/>
        <v>500</v>
      </c>
      <c r="G34" s="155">
        <f t="shared" si="4"/>
        <v>405.71199999999999</v>
      </c>
      <c r="H34" s="155">
        <f t="shared" si="5"/>
        <v>202856</v>
      </c>
      <c r="I34" s="23">
        <f t="shared" si="6"/>
        <v>0</v>
      </c>
      <c r="J34" s="22">
        <f t="shared" si="7"/>
        <v>500</v>
      </c>
      <c r="K34" s="22">
        <f t="shared" si="8"/>
        <v>440.47846428544347</v>
      </c>
      <c r="L34" s="22">
        <f t="shared" si="9"/>
        <v>0</v>
      </c>
      <c r="M34" s="22">
        <f t="shared" si="10"/>
        <v>220239.23214272174</v>
      </c>
      <c r="N34" s="22">
        <f t="shared" si="11"/>
        <v>220453</v>
      </c>
      <c r="O34" s="91">
        <f t="shared" si="12"/>
        <v>213.76785727826064</v>
      </c>
      <c r="P34" s="23">
        <f t="shared" si="13"/>
        <v>-6</v>
      </c>
      <c r="Q34" s="22">
        <f t="shared" si="14"/>
        <v>494</v>
      </c>
      <c r="R34" s="22">
        <f t="shared" si="15"/>
        <v>479.72257177762799</v>
      </c>
      <c r="S34" s="22">
        <f t="shared" si="16"/>
        <v>-1842.5854937258591</v>
      </c>
      <c r="T34" s="22">
        <f t="shared" si="17"/>
        <v>236982.95045814823</v>
      </c>
      <c r="U34" s="22">
        <f t="shared" si="18"/>
        <v>196853</v>
      </c>
      <c r="V34" s="91">
        <f t="shared" si="19"/>
        <v>-40129.950458148232</v>
      </c>
      <c r="W34" s="23">
        <f t="shared" si="20"/>
        <v>-3</v>
      </c>
      <c r="X34" s="22">
        <f t="shared" si="21"/>
        <v>491</v>
      </c>
      <c r="Y34" s="22">
        <f t="shared" si="22"/>
        <v>521.00714380746388</v>
      </c>
      <c r="Z34" s="22">
        <f t="shared" si="23"/>
        <v>-928.32099094288219</v>
      </c>
      <c r="AA34" s="22">
        <f t="shared" si="24"/>
        <v>255814.50760946478</v>
      </c>
      <c r="AB34" s="22">
        <f t="shared" si="25"/>
        <v>184174</v>
      </c>
      <c r="AC34" s="91">
        <f t="shared" si="26"/>
        <v>-71640.507609464781</v>
      </c>
      <c r="AD34" s="23">
        <f t="shared" si="27"/>
        <v>0</v>
      </c>
      <c r="AE34" s="22">
        <f t="shared" si="28"/>
        <v>491</v>
      </c>
      <c r="AF34" s="22">
        <f t="shared" si="29"/>
        <v>563.3956948641686</v>
      </c>
      <c r="AG34" s="22">
        <f t="shared" si="30"/>
        <v>0</v>
      </c>
      <c r="AH34" s="22">
        <f t="shared" si="31"/>
        <v>276627.28617830679</v>
      </c>
      <c r="AI34" s="22">
        <f t="shared" si="32"/>
        <v>198171.22400000002</v>
      </c>
      <c r="AJ34" s="91">
        <f t="shared" si="33"/>
        <v>-78456.062178306776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Chemicals and Waste Management</v>
      </c>
      <c r="D35" s="222">
        <f t="shared" si="2"/>
        <v>0</v>
      </c>
      <c r="E35" s="223">
        <f t="shared" si="2"/>
        <v>0</v>
      </c>
      <c r="F35" s="80">
        <f t="shared" si="3"/>
        <v>87</v>
      </c>
      <c r="G35" s="155">
        <f t="shared" si="4"/>
        <v>562.27586206896547</v>
      </c>
      <c r="H35" s="155">
        <f t="shared" si="5"/>
        <v>48918</v>
      </c>
      <c r="I35" s="23">
        <f t="shared" si="6"/>
        <v>0</v>
      </c>
      <c r="J35" s="22">
        <f t="shared" si="7"/>
        <v>87</v>
      </c>
      <c r="K35" s="22">
        <f t="shared" si="8"/>
        <v>605.79248840853165</v>
      </c>
      <c r="L35" s="22">
        <f t="shared" si="9"/>
        <v>0</v>
      </c>
      <c r="M35" s="22">
        <f t="shared" si="10"/>
        <v>52703.94649154225</v>
      </c>
      <c r="N35" s="22">
        <f t="shared" si="11"/>
        <v>55427</v>
      </c>
      <c r="O35" s="91">
        <f t="shared" si="12"/>
        <v>2723.0535084577496</v>
      </c>
      <c r="P35" s="23">
        <f t="shared" si="13"/>
        <v>-1</v>
      </c>
      <c r="Q35" s="22">
        <f t="shared" si="14"/>
        <v>86</v>
      </c>
      <c r="R35" s="22">
        <f t="shared" si="15"/>
        <v>659.39752379786705</v>
      </c>
      <c r="S35" s="22">
        <f t="shared" si="16"/>
        <v>-336.78860763760719</v>
      </c>
      <c r="T35" s="22">
        <f t="shared" si="17"/>
        <v>56708.187046616564</v>
      </c>
      <c r="U35" s="22">
        <f t="shared" si="18"/>
        <v>58960</v>
      </c>
      <c r="V35" s="91">
        <f t="shared" si="19"/>
        <v>2251.8129533834363</v>
      </c>
      <c r="W35" s="23">
        <f t="shared" si="20"/>
        <v>0</v>
      </c>
      <c r="X35" s="22">
        <f t="shared" si="21"/>
        <v>86</v>
      </c>
      <c r="Y35" s="22">
        <f t="shared" si="22"/>
        <v>713.04319925908396</v>
      </c>
      <c r="Z35" s="22">
        <f t="shared" si="23"/>
        <v>0</v>
      </c>
      <c r="AA35" s="22">
        <f t="shared" si="24"/>
        <v>61321.715136281222</v>
      </c>
      <c r="AB35" s="22">
        <f t="shared" si="25"/>
        <v>62379</v>
      </c>
      <c r="AC35" s="91">
        <f t="shared" si="26"/>
        <v>1057.2848637187781</v>
      </c>
      <c r="AD35" s="23">
        <f t="shared" si="27"/>
        <v>0</v>
      </c>
      <c r="AE35" s="22">
        <f t="shared" si="28"/>
        <v>86</v>
      </c>
      <c r="AF35" s="22">
        <f t="shared" si="29"/>
        <v>769.62110857789946</v>
      </c>
      <c r="AG35" s="22">
        <f t="shared" si="30"/>
        <v>0</v>
      </c>
      <c r="AH35" s="22">
        <f t="shared" si="31"/>
        <v>66187.415337699349</v>
      </c>
      <c r="AI35" s="22">
        <f t="shared" si="32"/>
        <v>67119.804000000004</v>
      </c>
      <c r="AJ35" s="91">
        <f t="shared" si="33"/>
        <v>932.38866230065469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2109</v>
      </c>
      <c r="G45" s="92">
        <f>IFERROR(H45/F45,0)</f>
        <v>431.09388335704125</v>
      </c>
      <c r="H45" s="92">
        <f>SUM(H29:H38)</f>
        <v>909177</v>
      </c>
      <c r="I45" s="25">
        <f>SUM(I29:I38)</f>
        <v>0</v>
      </c>
      <c r="J45" s="92">
        <f>SUM(J29:J38)</f>
        <v>2109</v>
      </c>
      <c r="K45" s="92">
        <f>IFERROR(M45/J45,0)</f>
        <v>466.92695911404724</v>
      </c>
      <c r="L45" s="92">
        <f t="shared" ref="L45:Q45" si="34">SUM(L29:L38)</f>
        <v>0</v>
      </c>
      <c r="M45" s="92">
        <f t="shared" si="34"/>
        <v>984748.95677152567</v>
      </c>
      <c r="N45" s="92">
        <f>INDEX('ENE17'!$C$2:$C$48,MATCH(Results!$D$3,'ENE17'!$A$2:$A$48,0))</f>
        <v>996609</v>
      </c>
      <c r="O45" s="129">
        <f>N45-M45</f>
        <v>11860.043228474329</v>
      </c>
      <c r="P45" s="25">
        <f t="shared" si="34"/>
        <v>-25</v>
      </c>
      <c r="Q45" s="24">
        <f t="shared" si="34"/>
        <v>2084</v>
      </c>
      <c r="R45" s="92">
        <f>IFERROR(T45/Q45,0)</f>
        <v>507.40021793182535</v>
      </c>
      <c r="S45" s="24">
        <f>SUM(S29:S38)</f>
        <v>-9351.0027568170026</v>
      </c>
      <c r="T45" s="24">
        <f>SUM(T29:T38)</f>
        <v>1057422.054169924</v>
      </c>
      <c r="U45" s="207">
        <f>INDEX('ENE17'!$D$2:$D$48,MATCH(Results!$D$3,'ENE17'!$A$2:$A$48,0))</f>
        <v>1035073</v>
      </c>
      <c r="V45" s="24">
        <f>U45-T45</f>
        <v>-22349.054169923998</v>
      </c>
      <c r="W45" s="25">
        <f t="shared" ref="W45:X45" si="35">SUM(W29:W38)</f>
        <v>-6</v>
      </c>
      <c r="X45" s="24">
        <f t="shared" si="35"/>
        <v>2078</v>
      </c>
      <c r="Y45" s="92">
        <f>IFERROR(AA45/X45,0)</f>
        <v>549.54020528209605</v>
      </c>
      <c r="Z45" s="24">
        <f t="shared" ref="Z45:AA45" si="36">SUM(Z29:Z38)</f>
        <v>-2491.8523216266094</v>
      </c>
      <c r="AA45" s="24">
        <f t="shared" si="36"/>
        <v>1141944.5465761956</v>
      </c>
      <c r="AB45" s="207">
        <f>INDEX('ENE17'!$E$2:$E$48,MATCH(Results!$D$3,'ENE17'!$A$2:$A$48,0))</f>
        <v>1078615</v>
      </c>
      <c r="AC45" s="24">
        <f>AB45-AA45</f>
        <v>-63329.546576195629</v>
      </c>
      <c r="AD45" s="25">
        <f t="shared" ref="AD45:AE45" si="37">SUM(AD29:AD38)</f>
        <v>-1</v>
      </c>
      <c r="AE45" s="24">
        <f t="shared" si="37"/>
        <v>2077</v>
      </c>
      <c r="AF45" s="92">
        <f>IFERROR(AH45/AE45,0)</f>
        <v>593.51261216773526</v>
      </c>
      <c r="AG45" s="24">
        <f t="shared" ref="AG45:AH45" si="38">SUM(AG29:AG38)</f>
        <v>-884.72295634090813</v>
      </c>
      <c r="AH45" s="24">
        <f t="shared" si="38"/>
        <v>1232725.6954723862</v>
      </c>
      <c r="AI45" s="207">
        <f>INDEX('ENE17'!$F$2:$F$48,MATCH(Results!$D$3,'ENE17'!$A$2:$A$48,0))</f>
        <v>1160842</v>
      </c>
      <c r="AJ45" s="24">
        <f>AI45-AH45</f>
        <v>-71883.6954723862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615</v>
      </c>
      <c r="G51" s="193">
        <f>IFERROR(H51/F51,"")</f>
        <v>147.93008130081301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90977</v>
      </c>
      <c r="I51" s="97">
        <f>SUMIFS($N$64:$N$509,$B$64:$B$509,$B51)-SUMIFS($O$64:$O$509,$B$64:$B$509,$B51)</f>
        <v>0</v>
      </c>
      <c r="J51" s="80">
        <f>SUMIFS($P$64:$P$509,$B$64:$B$509,$B51)</f>
        <v>615</v>
      </c>
      <c r="K51" s="80">
        <f>IFERROR(M51/J51,0)</f>
        <v>164.20471861269712</v>
      </c>
      <c r="L51" s="80">
        <f>SUMIFS($R$64:$R$509,$B$64:$B$509,$B51)+SUMIFS($Q$64:$Q$509,$B$64:$B$509,$B51)</f>
        <v>0</v>
      </c>
      <c r="M51" s="98">
        <f>SUMIFS($S$64:$S$509,$B$64:$B$509,$B51)</f>
        <v>100985.90194680872</v>
      </c>
      <c r="N51" s="80">
        <f>SUMIFS($V$64:$V$509,$B$64:$B$509,$B51)-SUMIFS($W$64:$W$509,$B$64:$B$509,$B51)</f>
        <v>-10</v>
      </c>
      <c r="O51" s="80">
        <f>SUMIFS($X$64:$X$509,$B$64:$B$509,$B51)</f>
        <v>605</v>
      </c>
      <c r="P51" s="80">
        <f>IFERROR(R51/O51,0)</f>
        <v>176.75721075985729</v>
      </c>
      <c r="Q51" s="80">
        <f>SUMIFS($Z$64:$Z$509,$B$64:$B$509,$B51)+SUMIFS($Y$64:$Y$509,$B$64:$B$509,$B51)</f>
        <v>-2633.4653558668542</v>
      </c>
      <c r="R51" s="80">
        <f>SUMIFS($AA$64:$AA$509,$B$64:$B$509,$B51)</f>
        <v>106938.11250971365</v>
      </c>
      <c r="S51" s="97">
        <f>SUMIFS($AD$64:$AD$509,$B$64:$B$509,$B51)-SUMIFS($AE$64:$AE$509,$B$64:$B$509,$B51)</f>
        <v>-3</v>
      </c>
      <c r="T51" s="80">
        <f>SUMIFS($AF$64:$AF$509,$B$64:$B$509,$B51)</f>
        <v>602</v>
      </c>
      <c r="U51" s="80">
        <f>IFERROR(W51/T51,0)</f>
        <v>191.40826620409803</v>
      </c>
      <c r="V51" s="80">
        <f>SUMIFS($AH$64:$AH$509,$B$64:$B$509,$B51)+SUMIFS($AG$64:$AG$509,$B$64:$B$509,$B51)</f>
        <v>-693.75311650016056</v>
      </c>
      <c r="W51" s="98">
        <f>SUMIFS($AI$64:$AI$509,$B$64:$B$509,$B51)</f>
        <v>115227.77625486701</v>
      </c>
      <c r="X51" s="80">
        <f>SUMIFS($AL$64:$AL$509,$B$64:$B$509,$B51)-SUMIFS($AM$64:$AM$509,$B$64:$B$509,$B51)</f>
        <v>0</v>
      </c>
      <c r="Y51" s="80">
        <f>SUMIFS($AN$64:$AN$509,$B$64:$B$509,$B51)</f>
        <v>602</v>
      </c>
      <c r="Z51" s="80">
        <f>IFERROR(AB51/Y51,0)</f>
        <v>207.10008865819273</v>
      </c>
      <c r="AA51" s="80">
        <f>SUMIFS($AP$64:$AP$509,$B$64:$B$509,$B51)+SUMIFS($AO$64:$AO$509,$B$64:$B$509,$B51)</f>
        <v>0</v>
      </c>
      <c r="AB51" s="98">
        <f>SUMIFS($AQ$64:$AQ$509,$B$64:$B$509,$B51)</f>
        <v>124674.25337223202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958</v>
      </c>
      <c r="G52" s="192">
        <f t="shared" ref="G52:G55" si="40">IFERROR(H52/F52,"")</f>
        <v>406.125260960334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389068</v>
      </c>
      <c r="I52" s="97">
        <f>SUMIFS($N$64:$N$509,$B$64:$B$509,$B52)-SUMIFS($O$64:$O$509,$B$64:$B$509,$B52)</f>
        <v>0</v>
      </c>
      <c r="J52" s="80">
        <f>SUMIFS($P$64:$P$509,$B$64:$B$509,$B52)</f>
        <v>958</v>
      </c>
      <c r="K52" s="80">
        <f t="shared" ref="K52:K56" si="41">IFERROR(M52/J52,0)</f>
        <v>442.59877161084023</v>
      </c>
      <c r="L52" s="80">
        <f>SUMIFS($R$64:$R$509,$B$64:$B$509,$B52)+SUMIFS($Q$64:$Q$509,$B$64:$B$509,$B52)</f>
        <v>0</v>
      </c>
      <c r="M52" s="98">
        <f>SUMIFS($S$64:$S$509,$B$64:$B$509,$B52)</f>
        <v>424009.62320318492</v>
      </c>
      <c r="N52" s="80">
        <f>SUMIFS($V$64:$V$509,$B$64:$B$509,$B52)-SUMIFS($W$64:$W$509,$B$64:$B$509,$B52)</f>
        <v>-12</v>
      </c>
      <c r="O52" s="80">
        <f>SUMIFS($X$64:$X$509,$B$64:$B$509,$B52)</f>
        <v>946</v>
      </c>
      <c r="P52" s="80">
        <f t="shared" ref="P52:P55" si="42">IFERROR(R52/O52,0)</f>
        <v>482.37558477475812</v>
      </c>
      <c r="Q52" s="80">
        <f>SUMIFS($Z$64:$Z$509,$B$64:$B$509,$B52)+SUMIFS($Y$64:$Y$509,$B$64:$B$509,$B52)</f>
        <v>-3885.6834778415769</v>
      </c>
      <c r="R52" s="80">
        <f>SUMIFS($AA$64:$AA$509,$B$64:$B$509,$B52)</f>
        <v>456327.30319692119</v>
      </c>
      <c r="S52" s="97">
        <f>SUMIFS($AD$64:$AD$509,$B$64:$B$509,$B52)-SUMIFS($AE$64:$AE$509,$B$64:$B$509,$B52)</f>
        <v>-2</v>
      </c>
      <c r="T52" s="80">
        <f>SUMIFS($AF$64:$AF$509,$B$64:$B$509,$B52)</f>
        <v>944</v>
      </c>
      <c r="U52" s="80">
        <f t="shared" ref="U52:U55" si="43">IFERROR(W52/T52,0)</f>
        <v>523.1437529574722</v>
      </c>
      <c r="V52" s="80">
        <f>SUMIFS($AH$64:$AH$509,$B$64:$B$509,$B52)+SUMIFS($AG$64:$AG$509,$B$64:$B$509,$B52)</f>
        <v>-980.73162868713632</v>
      </c>
      <c r="W52" s="98">
        <f>SUMIFS($AI$64:$AI$509,$B$64:$B$509,$B52)</f>
        <v>493847.70279185375</v>
      </c>
      <c r="X52" s="80">
        <f>SUMIFS($AL$64:$AL$509,$B$64:$B$509,$B52)-SUMIFS($AM$64:$AM$509,$B$64:$B$509,$B52)</f>
        <v>0</v>
      </c>
      <c r="Y52" s="80">
        <f>SUMIFS($AN$64:$AN$509,$B$64:$B$509,$B52)</f>
        <v>944</v>
      </c>
      <c r="Z52" s="80">
        <f t="shared" ref="Z52:Z55" si="44">IFERROR(AB52/Y52,0)</f>
        <v>566.22107811699618</v>
      </c>
      <c r="AA52" s="80">
        <f>SUMIFS($AP$64:$AP$509,$B$64:$B$509,$B52)+SUMIFS($AO$64:$AO$509,$B$64:$B$509,$B52)</f>
        <v>0</v>
      </c>
      <c r="AB52" s="98">
        <f>SUMIFS($AQ$64:$AQ$509,$B$64:$B$509,$B52)</f>
        <v>534512.69774244435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338</v>
      </c>
      <c r="G53" s="192">
        <f t="shared" si="40"/>
        <v>677.4260355029586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228970</v>
      </c>
      <c r="I53" s="97">
        <f>SUMIFS($N$64:$N$509,$B$64:$B$509,$B53)-SUMIFS($O$64:$O$509,$B$64:$B$509,$B53)</f>
        <v>0</v>
      </c>
      <c r="J53" s="80">
        <f>SUMIFS($P$64:$P$509,$B$64:$B$509,$B53)</f>
        <v>338</v>
      </c>
      <c r="K53" s="80">
        <f t="shared" si="41"/>
        <v>739.56561667797382</v>
      </c>
      <c r="L53" s="80">
        <f>SUMIFS($R$64:$R$509,$B$64:$B$509,$B53)+SUMIFS($Q$64:$Q$509,$B$64:$B$509,$B53)</f>
        <v>0</v>
      </c>
      <c r="M53" s="98">
        <f>SUMIFS($S$64:$S$509,$B$64:$B$509,$B53)</f>
        <v>249973.17843715515</v>
      </c>
      <c r="N53" s="80">
        <f>SUMIFS($V$64:$V$509,$B$64:$B$509,$B53)-SUMIFS($W$64:$W$509,$B$64:$B$509,$B53)</f>
        <v>-2</v>
      </c>
      <c r="O53" s="80">
        <f>SUMIFS($X$64:$X$509,$B$64:$B$509,$B53)</f>
        <v>336</v>
      </c>
      <c r="P53" s="80">
        <f t="shared" si="42"/>
        <v>802.50386052254703</v>
      </c>
      <c r="Q53" s="80">
        <f>SUMIFS($Z$64:$Z$509,$B$64:$B$509,$B53)+SUMIFS($Y$64:$Y$509,$B$64:$B$509,$B53)</f>
        <v>-1739.9029893379645</v>
      </c>
      <c r="R53" s="80">
        <f>SUMIFS($AA$64:$AA$509,$B$64:$B$509,$B53)</f>
        <v>269641.29713557579</v>
      </c>
      <c r="S53" s="97">
        <f>SUMIFS($AD$64:$AD$509,$B$64:$B$509,$B53)-SUMIFS($AE$64:$AE$509,$B$64:$B$509,$B53)</f>
        <v>-1</v>
      </c>
      <c r="T53" s="80">
        <f>SUMIFS($AF$64:$AF$509,$B$64:$B$509,$B53)</f>
        <v>335</v>
      </c>
      <c r="U53" s="80">
        <f t="shared" si="43"/>
        <v>870.57505369870557</v>
      </c>
      <c r="V53" s="80">
        <f>SUMIFS($AH$64:$AH$509,$B$64:$B$509,$B53)+SUMIFS($AG$64:$AG$509,$B$64:$B$509,$B53)</f>
        <v>-817.36757643931242</v>
      </c>
      <c r="W53" s="98">
        <f>SUMIFS($AI$64:$AI$509,$B$64:$B$509,$B53)</f>
        <v>291642.64298906637</v>
      </c>
      <c r="X53" s="80">
        <f>SUMIFS($AL$64:$AL$509,$B$64:$B$509,$B53)-SUMIFS($AM$64:$AM$509,$B$64:$B$509,$B53)</f>
        <v>-1</v>
      </c>
      <c r="Y53" s="80">
        <f>SUMIFS($AN$64:$AN$509,$B$64:$B$509,$B53)</f>
        <v>334</v>
      </c>
      <c r="Z53" s="80">
        <f t="shared" si="44"/>
        <v>942.65532092904903</v>
      </c>
      <c r="AA53" s="80">
        <f>SUMIFS($AP$64:$AP$509,$B$64:$B$509,$B53)+SUMIFS($AO$64:$AO$509,$B$64:$B$509,$B53)</f>
        <v>-884.72295634090813</v>
      </c>
      <c r="AB53" s="98">
        <f>SUMIFS($AQ$64:$AQ$509,$B$64:$B$509,$B53)</f>
        <v>314846.87719030236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198</v>
      </c>
      <c r="G54" s="192">
        <f t="shared" si="40"/>
        <v>1010.9191919191919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200162</v>
      </c>
      <c r="I54" s="97">
        <f>SUMIFS($N$64:$N$509,$B$64:$B$509,$B54)-SUMIFS($O$64:$O$509,$B$64:$B$509,$B54)</f>
        <v>0</v>
      </c>
      <c r="J54" s="80">
        <f>SUMIFS($P$64:$P$509,$B$64:$B$509,$B54)</f>
        <v>198</v>
      </c>
      <c r="K54" s="80">
        <f t="shared" si="41"/>
        <v>1059.4962282039235</v>
      </c>
      <c r="L54" s="80">
        <f>SUMIFS($R$64:$R$509,$B$64:$B$509,$B54)+SUMIFS($Q$64:$Q$509,$B$64:$B$509,$B54)</f>
        <v>0</v>
      </c>
      <c r="M54" s="98">
        <f>SUMIFS($S$64:$S$509,$B$64:$B$509,$B54)</f>
        <v>209780.25318437684</v>
      </c>
      <c r="N54" s="80">
        <f>SUMIFS($V$64:$V$509,$B$64:$B$509,$B54)-SUMIFS($W$64:$W$509,$B$64:$B$509,$B54)</f>
        <v>-1</v>
      </c>
      <c r="O54" s="80">
        <f>SUMIFS($X$64:$X$509,$B$64:$B$509,$B54)</f>
        <v>197</v>
      </c>
      <c r="P54" s="80">
        <f t="shared" si="42"/>
        <v>1139.6717833894083</v>
      </c>
      <c r="Q54" s="80">
        <f>SUMIFS($Z$64:$Z$509,$B$64:$B$509,$B54)+SUMIFS($Y$64:$Y$509,$B$64:$B$509,$B54)</f>
        <v>-1091.9509337706063</v>
      </c>
      <c r="R54" s="80">
        <f>SUMIFS($AA$64:$AA$509,$B$64:$B$509,$B54)</f>
        <v>224515.34132771342</v>
      </c>
      <c r="S54" s="97">
        <f>SUMIFS($AD$64:$AD$509,$B$64:$B$509,$B54)-SUMIFS($AE$64:$AE$509,$B$64:$B$509,$B54)</f>
        <v>0</v>
      </c>
      <c r="T54" s="80">
        <f>SUMIFS($AF$64:$AF$509,$B$64:$B$509,$B54)</f>
        <v>197</v>
      </c>
      <c r="U54" s="80">
        <f t="shared" si="43"/>
        <v>1224.4996169563888</v>
      </c>
      <c r="V54" s="80">
        <f>SUMIFS($AH$64:$AH$509,$B$64:$B$509,$B54)+SUMIFS($AG$64:$AG$509,$B$64:$B$509,$B54)</f>
        <v>0</v>
      </c>
      <c r="W54" s="98">
        <f>SUMIFS($AI$64:$AI$509,$B$64:$B$509,$B54)</f>
        <v>241226.4245404086</v>
      </c>
      <c r="X54" s="80">
        <f>SUMIFS($AL$64:$AL$509,$B$64:$B$509,$B54)-SUMIFS($AM$64:$AM$509,$B$64:$B$509,$B54)</f>
        <v>0</v>
      </c>
      <c r="Y54" s="80">
        <f>SUMIFS($AN$64:$AN$509,$B$64:$B$509,$B54)</f>
        <v>197</v>
      </c>
      <c r="Z54" s="80">
        <f t="shared" si="44"/>
        <v>1313.1566861289707</v>
      </c>
      <c r="AA54" s="80">
        <f>SUMIFS($AP$64:$AP$509,$B$64:$B$509,$B54)+SUMIFS($AO$64:$AO$509,$B$64:$B$509,$B54)</f>
        <v>0</v>
      </c>
      <c r="AB54" s="98">
        <f>SUMIFS($AQ$64:$AQ$509,$B$64:$B$509,$B54)</f>
        <v>258691.86716740721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2109</v>
      </c>
      <c r="G56" s="92">
        <f t="shared" ref="G56" si="45">IFERROR(H56/F56,0)</f>
        <v>431.09388335704125</v>
      </c>
      <c r="H56" s="92">
        <f>SUM(H51:H55)</f>
        <v>909177</v>
      </c>
      <c r="I56" s="92">
        <f>SUM(I51:I55)</f>
        <v>0</v>
      </c>
      <c r="J56" s="92">
        <f>SUM(J51:J55)</f>
        <v>2109</v>
      </c>
      <c r="K56" s="92">
        <f t="shared" si="41"/>
        <v>466.92695911404724</v>
      </c>
      <c r="L56" s="92">
        <f>SUM(L51:L55)</f>
        <v>0</v>
      </c>
      <c r="M56" s="92">
        <f>SUM(M51:M55)</f>
        <v>984748.95677152567</v>
      </c>
      <c r="N56" s="92">
        <f t="shared" ref="N56:O56" si="46">SUM(N51:N55)</f>
        <v>-25</v>
      </c>
      <c r="O56" s="92">
        <f t="shared" si="46"/>
        <v>2084</v>
      </c>
      <c r="P56" s="92">
        <f>IFERROR(R56/O56,0)</f>
        <v>507.40021793182535</v>
      </c>
      <c r="Q56" s="92">
        <f t="shared" ref="Q56" si="47">SUM(Q51:Q55)</f>
        <v>-9351.0027568170008</v>
      </c>
      <c r="R56" s="92">
        <f t="shared" ref="R56:T56" si="48">SUM(R51:R55)</f>
        <v>1057422.054169924</v>
      </c>
      <c r="S56" s="92">
        <f t="shared" si="48"/>
        <v>-6</v>
      </c>
      <c r="T56" s="92">
        <f t="shared" si="48"/>
        <v>2078</v>
      </c>
      <c r="U56" s="92">
        <f>IFERROR(W56/T56,0)</f>
        <v>549.54020528209617</v>
      </c>
      <c r="V56" s="92">
        <f t="shared" ref="V56" si="49">SUM(V51:V55)</f>
        <v>-2491.8523216266094</v>
      </c>
      <c r="W56" s="92">
        <f t="shared" ref="W56:Y56" si="50">SUM(W51:W55)</f>
        <v>1141944.5465761959</v>
      </c>
      <c r="X56" s="92">
        <f t="shared" si="50"/>
        <v>-1</v>
      </c>
      <c r="Y56" s="92">
        <f t="shared" si="50"/>
        <v>2077</v>
      </c>
      <c r="Z56" s="92">
        <f>IFERROR(AB56/Y56,0)</f>
        <v>593.51261216773514</v>
      </c>
      <c r="AA56" s="92">
        <f t="shared" ref="AA56" si="51">SUM(AA51:AA55)</f>
        <v>-884.72295634090813</v>
      </c>
      <c r="AB56" s="104">
        <f t="shared" ref="AB56" si="52">SUM(AB51:AB55)</f>
        <v>1232725.695472386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</v>
      </c>
      <c r="G64" s="35">
        <f>SUMIFS(WORKING!$AC$3:$AC$6802,WORKING!$A$3:$A$6802,Results!$D$3,WORKING!$B$3:$B$6802,Results!A64,WORKING!$C$3:$C$6802,Results!C64)/1000</f>
        <v>8635.7393599999996</v>
      </c>
      <c r="H64" s="35">
        <f>IFERROR(G64/F64,0)</f>
        <v>8635.7393599999996</v>
      </c>
      <c r="I64" s="156">
        <v>200</v>
      </c>
      <c r="J64" s="211">
        <v>8636</v>
      </c>
      <c r="K64" s="217">
        <f>IFERROR(IF(J64="",G64,J64)/IF(I64="",F64,I64),"")</f>
        <v>43.18</v>
      </c>
      <c r="L64" s="34">
        <f t="shared" ref="L64:L80" si="54">IF(I64="",F64,I64)</f>
        <v>200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47.158583277990381</v>
      </c>
      <c r="N64" s="57">
        <v>0</v>
      </c>
      <c r="O64" s="57">
        <v>0</v>
      </c>
      <c r="P64" s="61">
        <f t="shared" ref="P64:P80" si="55">-O64+L64+N64</f>
        <v>200</v>
      </c>
      <c r="Q64" s="40">
        <f>M64*N64</f>
        <v>0</v>
      </c>
      <c r="R64" s="40">
        <f>-M64*O64</f>
        <v>0</v>
      </c>
      <c r="S64" s="44">
        <f>M64*P64</f>
        <v>9431.7166555980766</v>
      </c>
      <c r="T64" s="35">
        <f>P64</f>
        <v>200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51.216555560673982</v>
      </c>
      <c r="V64" s="57">
        <v>0</v>
      </c>
      <c r="W64" s="57">
        <v>0</v>
      </c>
      <c r="X64" s="61">
        <f t="shared" ref="X64:X80" si="56">-W64+T64+V64</f>
        <v>200</v>
      </c>
      <c r="Y64" s="40">
        <f>U64*V64</f>
        <v>0</v>
      </c>
      <c r="Z64" s="40">
        <f>-U64*W64</f>
        <v>0</v>
      </c>
      <c r="AA64" s="44">
        <f>U64*X64</f>
        <v>10243.311112134796</v>
      </c>
      <c r="AB64" s="35">
        <f>X64</f>
        <v>200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55.571729529854196</v>
      </c>
      <c r="AD64" s="57">
        <v>0</v>
      </c>
      <c r="AE64" s="57">
        <v>0</v>
      </c>
      <c r="AF64" s="61">
        <f t="shared" ref="AF64:AF80" si="57">-AE64+AB64+AD64</f>
        <v>200</v>
      </c>
      <c r="AG64" s="40">
        <f>AC64*AD64</f>
        <v>0</v>
      </c>
      <c r="AH64" s="40">
        <f>-AC64*AE64</f>
        <v>0</v>
      </c>
      <c r="AI64" s="44">
        <f>AC64*AF64</f>
        <v>11114.345905970838</v>
      </c>
      <c r="AJ64" s="35">
        <f t="shared" ref="AJ64:AJ80" si="58">AF64</f>
        <v>200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60.18443296230938</v>
      </c>
      <c r="AL64" s="57">
        <v>0</v>
      </c>
      <c r="AM64" s="57">
        <v>0</v>
      </c>
      <c r="AN64" s="61">
        <f t="shared" ref="AN64:AN80" si="59">-AM64+AJ64+AL64</f>
        <v>200</v>
      </c>
      <c r="AO64" s="40">
        <f>AK64*AL64</f>
        <v>0</v>
      </c>
      <c r="AP64" s="40">
        <f>-AK64*AM64</f>
        <v>0</v>
      </c>
      <c r="AQ64" s="44">
        <f>AK64*AN64</f>
        <v>12036.886592461877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0</v>
      </c>
      <c r="J66" s="212">
        <v>0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56</v>
      </c>
      <c r="G67" s="35">
        <f>SUMIFS(WORKING!$AC$3:$AC$6802,WORKING!$A$3:$A$6802,Results!$D$3,WORKING!$B$3:$B$6802,Results!A67,WORKING!$C$3:$C$6802,Results!C67)/1000</f>
        <v>8258.2616499999986</v>
      </c>
      <c r="H67" s="35">
        <f t="shared" si="60"/>
        <v>147.46895803571425</v>
      </c>
      <c r="I67" s="187">
        <v>57</v>
      </c>
      <c r="J67" s="212">
        <v>9177</v>
      </c>
      <c r="K67" s="217">
        <f t="shared" si="61"/>
        <v>161</v>
      </c>
      <c r="L67" s="34">
        <f t="shared" si="54"/>
        <v>57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174.87784361210191</v>
      </c>
      <c r="N67" s="57">
        <v>0</v>
      </c>
      <c r="O67" s="57">
        <v>0</v>
      </c>
      <c r="P67" s="61">
        <f t="shared" si="55"/>
        <v>57</v>
      </c>
      <c r="Q67" s="40">
        <f t="shared" si="62"/>
        <v>0</v>
      </c>
      <c r="R67" s="40">
        <f t="shared" si="63"/>
        <v>0</v>
      </c>
      <c r="S67" s="44">
        <f t="shared" si="64"/>
        <v>9968.0370858898095</v>
      </c>
      <c r="T67" s="35">
        <f t="shared" si="65"/>
        <v>57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189.62941496067506</v>
      </c>
      <c r="V67" s="57">
        <v>0</v>
      </c>
      <c r="W67" s="57">
        <v>0</v>
      </c>
      <c r="X67" s="61">
        <f t="shared" si="56"/>
        <v>57</v>
      </c>
      <c r="Y67" s="40">
        <f t="shared" si="66"/>
        <v>0</v>
      </c>
      <c r="Z67" s="40">
        <f t="shared" si="67"/>
        <v>0</v>
      </c>
      <c r="AA67" s="44">
        <f t="shared" si="68"/>
        <v>10808.876652758479</v>
      </c>
      <c r="AB67" s="35">
        <f t="shared" si="69"/>
        <v>57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205.43323757787056</v>
      </c>
      <c r="AD67" s="57">
        <v>0</v>
      </c>
      <c r="AE67" s="57">
        <v>1</v>
      </c>
      <c r="AF67" s="61">
        <f t="shared" si="57"/>
        <v>56</v>
      </c>
      <c r="AG67" s="40">
        <f t="shared" si="70"/>
        <v>0</v>
      </c>
      <c r="AH67" s="40">
        <f t="shared" si="71"/>
        <v>-205.43323757787056</v>
      </c>
      <c r="AI67" s="44">
        <f t="shared" si="72"/>
        <v>11504.261304360751</v>
      </c>
      <c r="AJ67" s="35">
        <f t="shared" si="58"/>
        <v>56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222.13794780785631</v>
      </c>
      <c r="AL67" s="57">
        <v>0</v>
      </c>
      <c r="AM67" s="57">
        <v>0</v>
      </c>
      <c r="AN67" s="61">
        <f t="shared" si="59"/>
        <v>56</v>
      </c>
      <c r="AO67" s="40">
        <f t="shared" si="73"/>
        <v>0</v>
      </c>
      <c r="AP67" s="40">
        <f t="shared" si="74"/>
        <v>0</v>
      </c>
      <c r="AQ67" s="44">
        <f t="shared" si="75"/>
        <v>12439.725077239953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1795.50855</v>
      </c>
      <c r="H68" s="35">
        <f t="shared" si="60"/>
        <v>0</v>
      </c>
      <c r="I68" s="187">
        <v>0</v>
      </c>
      <c r="J68" s="212">
        <v>-1796</v>
      </c>
      <c r="K68" s="217" t="str">
        <f t="shared" si="61"/>
        <v/>
      </c>
      <c r="L68" s="34">
        <f t="shared" si="54"/>
        <v>0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0</v>
      </c>
      <c r="N68" s="57">
        <v>0</v>
      </c>
      <c r="O68" s="57">
        <v>0</v>
      </c>
      <c r="P68" s="61">
        <f t="shared" si="55"/>
        <v>0</v>
      </c>
      <c r="Q68" s="40">
        <f t="shared" si="62"/>
        <v>0</v>
      </c>
      <c r="R68" s="40">
        <f t="shared" si="63"/>
        <v>0</v>
      </c>
      <c r="S68" s="44">
        <f t="shared" si="64"/>
        <v>0</v>
      </c>
      <c r="T68" s="35">
        <f t="shared" si="65"/>
        <v>0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0</v>
      </c>
      <c r="V68" s="57">
        <v>0</v>
      </c>
      <c r="W68" s="57">
        <v>0</v>
      </c>
      <c r="X68" s="61">
        <f t="shared" si="56"/>
        <v>0</v>
      </c>
      <c r="Y68" s="40">
        <f t="shared" si="66"/>
        <v>0</v>
      </c>
      <c r="Z68" s="40">
        <f t="shared" si="67"/>
        <v>0</v>
      </c>
      <c r="AA68" s="44">
        <f t="shared" si="68"/>
        <v>0</v>
      </c>
      <c r="AB68" s="35">
        <f t="shared" si="69"/>
        <v>0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0</v>
      </c>
      <c r="AD68" s="57">
        <v>0</v>
      </c>
      <c r="AE68" s="57">
        <v>0</v>
      </c>
      <c r="AF68" s="61">
        <f t="shared" si="57"/>
        <v>0</v>
      </c>
      <c r="AG68" s="40">
        <f t="shared" si="70"/>
        <v>0</v>
      </c>
      <c r="AH68" s="40">
        <f t="shared" si="71"/>
        <v>0</v>
      </c>
      <c r="AI68" s="44">
        <f t="shared" si="72"/>
        <v>0</v>
      </c>
      <c r="AJ68" s="35">
        <f t="shared" si="58"/>
        <v>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0</v>
      </c>
      <c r="AL68" s="57">
        <v>0</v>
      </c>
      <c r="AM68" s="57">
        <v>0</v>
      </c>
      <c r="AN68" s="61">
        <f t="shared" si="59"/>
        <v>0</v>
      </c>
      <c r="AO68" s="40">
        <f t="shared" si="73"/>
        <v>0</v>
      </c>
      <c r="AP68" s="40">
        <f t="shared" si="74"/>
        <v>0</v>
      </c>
      <c r="AQ68" s="44">
        <f t="shared" si="75"/>
        <v>0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145</v>
      </c>
      <c r="G69" s="35">
        <f>SUMIFS(WORKING!$AC$3:$AC$6802,WORKING!$A$3:$A$6802,Results!$D$3,WORKING!$B$3:$B$6802,Results!A69,WORKING!$C$3:$C$6802,Results!C69)/1000</f>
        <v>32104.252779999999</v>
      </c>
      <c r="H69" s="35">
        <f t="shared" si="60"/>
        <v>221.40863986206895</v>
      </c>
      <c r="I69" s="187">
        <v>145</v>
      </c>
      <c r="J69" s="212">
        <v>32625</v>
      </c>
      <c r="K69" s="217">
        <f t="shared" si="61"/>
        <v>225</v>
      </c>
      <c r="L69" s="34">
        <f t="shared" si="54"/>
        <v>145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244.87075886388737</v>
      </c>
      <c r="N69" s="57">
        <v>0</v>
      </c>
      <c r="O69" s="57">
        <v>0</v>
      </c>
      <c r="P69" s="61">
        <f t="shared" si="55"/>
        <v>145</v>
      </c>
      <c r="Q69" s="40">
        <f t="shared" si="62"/>
        <v>0</v>
      </c>
      <c r="R69" s="40">
        <f t="shared" si="63"/>
        <v>0</v>
      </c>
      <c r="S69" s="44">
        <f t="shared" si="64"/>
        <v>35506.260035263673</v>
      </c>
      <c r="T69" s="35">
        <f t="shared" si="65"/>
        <v>145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265.67455393045753</v>
      </c>
      <c r="V69" s="57">
        <v>0</v>
      </c>
      <c r="W69" s="57">
        <v>1</v>
      </c>
      <c r="X69" s="61">
        <f t="shared" si="56"/>
        <v>144</v>
      </c>
      <c r="Y69" s="40">
        <f t="shared" si="66"/>
        <v>0</v>
      </c>
      <c r="Z69" s="40">
        <f t="shared" si="67"/>
        <v>-265.67455393045753</v>
      </c>
      <c r="AA69" s="44">
        <f t="shared" si="68"/>
        <v>38257.135765985884</v>
      </c>
      <c r="AB69" s="35">
        <f t="shared" si="69"/>
        <v>144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287.97648242799272</v>
      </c>
      <c r="AD69" s="57">
        <v>0</v>
      </c>
      <c r="AE69" s="57">
        <v>0</v>
      </c>
      <c r="AF69" s="61">
        <f t="shared" si="57"/>
        <v>144</v>
      </c>
      <c r="AG69" s="40">
        <f t="shared" si="70"/>
        <v>0</v>
      </c>
      <c r="AH69" s="40">
        <f t="shared" si="71"/>
        <v>0</v>
      </c>
      <c r="AI69" s="44">
        <f t="shared" si="72"/>
        <v>41468.613469630953</v>
      </c>
      <c r="AJ69" s="35">
        <f t="shared" si="58"/>
        <v>144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311.56667818686896</v>
      </c>
      <c r="AL69" s="57">
        <v>0</v>
      </c>
      <c r="AM69" s="57">
        <v>0</v>
      </c>
      <c r="AN69" s="61">
        <f t="shared" si="59"/>
        <v>144</v>
      </c>
      <c r="AO69" s="40">
        <f t="shared" si="73"/>
        <v>0</v>
      </c>
      <c r="AP69" s="40">
        <f t="shared" si="74"/>
        <v>0</v>
      </c>
      <c r="AQ69" s="44">
        <f t="shared" si="75"/>
        <v>44865.60165890913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91</v>
      </c>
      <c r="G70" s="35">
        <f>SUMIFS(WORKING!$AC$3:$AC$6802,WORKING!$A$3:$A$6802,Results!$D$3,WORKING!$B$3:$B$6802,Results!A70,WORKING!$C$3:$C$6802,Results!C70)/1000</f>
        <v>24770.709559999996</v>
      </c>
      <c r="H70" s="35">
        <f t="shared" si="60"/>
        <v>272.20559956043951</v>
      </c>
      <c r="I70" s="187">
        <v>91</v>
      </c>
      <c r="J70" s="212">
        <v>25389</v>
      </c>
      <c r="K70" s="217">
        <f t="shared" si="61"/>
        <v>279</v>
      </c>
      <c r="L70" s="34">
        <f t="shared" si="54"/>
        <v>91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303.71732761672848</v>
      </c>
      <c r="N70" s="57">
        <v>0</v>
      </c>
      <c r="O70" s="57">
        <v>0</v>
      </c>
      <c r="P70" s="61">
        <f t="shared" si="55"/>
        <v>91</v>
      </c>
      <c r="Q70" s="40">
        <f t="shared" si="62"/>
        <v>0</v>
      </c>
      <c r="R70" s="40">
        <f t="shared" si="63"/>
        <v>0</v>
      </c>
      <c r="S70" s="44">
        <f t="shared" si="64"/>
        <v>27638.276813122291</v>
      </c>
      <c r="T70" s="35">
        <f t="shared" si="65"/>
        <v>91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329.54451649730919</v>
      </c>
      <c r="V70" s="57">
        <v>0</v>
      </c>
      <c r="W70" s="57">
        <v>4</v>
      </c>
      <c r="X70" s="61">
        <f t="shared" si="56"/>
        <v>87</v>
      </c>
      <c r="Y70" s="40">
        <f t="shared" si="66"/>
        <v>0</v>
      </c>
      <c r="Z70" s="40">
        <f t="shared" si="67"/>
        <v>-1318.1780659892368</v>
      </c>
      <c r="AA70" s="44">
        <f t="shared" si="68"/>
        <v>28670.372935265899</v>
      </c>
      <c r="AB70" s="35">
        <f t="shared" si="69"/>
        <v>87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357.23388987769476</v>
      </c>
      <c r="AD70" s="57">
        <v>0</v>
      </c>
      <c r="AE70" s="57">
        <v>0</v>
      </c>
      <c r="AF70" s="61">
        <f t="shared" si="57"/>
        <v>87</v>
      </c>
      <c r="AG70" s="40">
        <f t="shared" si="70"/>
        <v>0</v>
      </c>
      <c r="AH70" s="40">
        <f t="shared" si="71"/>
        <v>0</v>
      </c>
      <c r="AI70" s="44">
        <f t="shared" si="72"/>
        <v>31079.348419359445</v>
      </c>
      <c r="AJ70" s="35">
        <f t="shared" si="58"/>
        <v>87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386.52551041637719</v>
      </c>
      <c r="AL70" s="57">
        <v>0</v>
      </c>
      <c r="AM70" s="57">
        <v>0</v>
      </c>
      <c r="AN70" s="61">
        <f t="shared" si="59"/>
        <v>87</v>
      </c>
      <c r="AO70" s="40">
        <f t="shared" si="73"/>
        <v>0</v>
      </c>
      <c r="AP70" s="40">
        <f t="shared" si="74"/>
        <v>0</v>
      </c>
      <c r="AQ70" s="44">
        <f t="shared" si="75"/>
        <v>33627.719406224816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84</v>
      </c>
      <c r="G71" s="35">
        <f>SUMIFS(WORKING!$AC$3:$AC$6802,WORKING!$A$3:$A$6802,Results!$D$3,WORKING!$B$3:$B$6802,Results!A71,WORKING!$C$3:$C$6802,Results!C71)/1000</f>
        <v>29840.179329999999</v>
      </c>
      <c r="H71" s="35">
        <f>IFERROR(G71/F71,0)</f>
        <v>355.24023011904762</v>
      </c>
      <c r="I71" s="187">
        <v>84</v>
      </c>
      <c r="J71" s="212">
        <v>29232</v>
      </c>
      <c r="K71" s="217">
        <f t="shared" si="61"/>
        <v>348</v>
      </c>
      <c r="L71" s="34">
        <f t="shared" si="54"/>
        <v>84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378.93891265639695</v>
      </c>
      <c r="N71" s="57">
        <v>0</v>
      </c>
      <c r="O71" s="57">
        <v>0</v>
      </c>
      <c r="P71" s="61">
        <f t="shared" si="55"/>
        <v>84</v>
      </c>
      <c r="Q71" s="40">
        <f t="shared" si="62"/>
        <v>0</v>
      </c>
      <c r="R71" s="40">
        <f t="shared" si="63"/>
        <v>0</v>
      </c>
      <c r="S71" s="44">
        <f t="shared" si="64"/>
        <v>31830.868663137342</v>
      </c>
      <c r="T71" s="35">
        <f t="shared" si="65"/>
        <v>84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411.19694046286889</v>
      </c>
      <c r="V71" s="57">
        <v>0</v>
      </c>
      <c r="W71" s="57">
        <v>0</v>
      </c>
      <c r="X71" s="61">
        <f t="shared" si="56"/>
        <v>84</v>
      </c>
      <c r="Y71" s="40">
        <f t="shared" si="66"/>
        <v>0</v>
      </c>
      <c r="Z71" s="40">
        <f t="shared" si="67"/>
        <v>0</v>
      </c>
      <c r="AA71" s="44">
        <f t="shared" si="68"/>
        <v>34540.542998880985</v>
      </c>
      <c r="AB71" s="35">
        <f t="shared" si="69"/>
        <v>84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445.78408942314917</v>
      </c>
      <c r="AD71" s="57">
        <v>0</v>
      </c>
      <c r="AE71" s="57">
        <v>0</v>
      </c>
      <c r="AF71" s="61">
        <f t="shared" si="57"/>
        <v>84</v>
      </c>
      <c r="AG71" s="40">
        <f t="shared" si="70"/>
        <v>0</v>
      </c>
      <c r="AH71" s="40">
        <f t="shared" si="71"/>
        <v>0</v>
      </c>
      <c r="AI71" s="44">
        <f t="shared" si="72"/>
        <v>37445.863511544529</v>
      </c>
      <c r="AJ71" s="35">
        <f t="shared" si="58"/>
        <v>84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482.37651054111262</v>
      </c>
      <c r="AL71" s="57">
        <v>0</v>
      </c>
      <c r="AM71" s="57">
        <v>0</v>
      </c>
      <c r="AN71" s="61">
        <f t="shared" si="59"/>
        <v>84</v>
      </c>
      <c r="AO71" s="40">
        <f t="shared" si="73"/>
        <v>0</v>
      </c>
      <c r="AP71" s="40">
        <f t="shared" si="74"/>
        <v>0</v>
      </c>
      <c r="AQ71" s="44">
        <f t="shared" si="75"/>
        <v>40519.626885453457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66</v>
      </c>
      <c r="G72" s="35">
        <f>SUMIFS(WORKING!$AC$3:$AC$6802,WORKING!$A$3:$A$6802,Results!$D$3,WORKING!$B$3:$B$6802,Results!A72,WORKING!$C$3:$C$6802,Results!C72)/1000</f>
        <v>25661.236880000008</v>
      </c>
      <c r="H72" s="35">
        <f t="shared" si="60"/>
        <v>388.80661939393951</v>
      </c>
      <c r="I72" s="187">
        <v>66</v>
      </c>
      <c r="J72" s="212">
        <v>33032</v>
      </c>
      <c r="K72" s="217">
        <f>IFERROR(IF(J72="",G72,J72)/IF(I72="",F72,I72),"")</f>
        <v>500.4848484848485</v>
      </c>
      <c r="L72" s="34">
        <f t="shared" si="54"/>
        <v>66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545.2934015591519</v>
      </c>
      <c r="N72" s="57">
        <v>0</v>
      </c>
      <c r="O72" s="57">
        <v>0</v>
      </c>
      <c r="P72" s="61">
        <f t="shared" si="55"/>
        <v>66</v>
      </c>
      <c r="Q72" s="40">
        <f t="shared" si="62"/>
        <v>0</v>
      </c>
      <c r="R72" s="40">
        <f t="shared" si="63"/>
        <v>0</v>
      </c>
      <c r="S72" s="44">
        <f t="shared" si="64"/>
        <v>35989.364502904027</v>
      </c>
      <c r="T72" s="35">
        <f t="shared" si="65"/>
        <v>66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591.80872557449732</v>
      </c>
      <c r="V72" s="57">
        <v>0</v>
      </c>
      <c r="W72" s="57">
        <v>0</v>
      </c>
      <c r="X72" s="61">
        <f t="shared" si="56"/>
        <v>66</v>
      </c>
      <c r="Y72" s="40">
        <f t="shared" si="66"/>
        <v>0</v>
      </c>
      <c r="Z72" s="40">
        <f t="shared" si="67"/>
        <v>0</v>
      </c>
      <c r="AA72" s="44">
        <f t="shared" si="68"/>
        <v>39059.375887916824</v>
      </c>
      <c r="AB72" s="35">
        <f t="shared" si="69"/>
        <v>66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641.69186277148583</v>
      </c>
      <c r="AD72" s="57">
        <v>0</v>
      </c>
      <c r="AE72" s="57">
        <v>0</v>
      </c>
      <c r="AF72" s="61">
        <f t="shared" si="57"/>
        <v>66</v>
      </c>
      <c r="AG72" s="40">
        <f t="shared" si="70"/>
        <v>0</v>
      </c>
      <c r="AH72" s="40">
        <f t="shared" si="71"/>
        <v>0</v>
      </c>
      <c r="AI72" s="44">
        <f t="shared" si="72"/>
        <v>42351.662942918061</v>
      </c>
      <c r="AJ72" s="35">
        <f t="shared" si="58"/>
        <v>66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694.47825616770797</v>
      </c>
      <c r="AL72" s="57">
        <v>0</v>
      </c>
      <c r="AM72" s="57">
        <v>0</v>
      </c>
      <c r="AN72" s="61">
        <f t="shared" si="59"/>
        <v>66</v>
      </c>
      <c r="AO72" s="40">
        <f t="shared" si="73"/>
        <v>0</v>
      </c>
      <c r="AP72" s="40">
        <f t="shared" si="74"/>
        <v>0</v>
      </c>
      <c r="AQ72" s="44">
        <f t="shared" si="75"/>
        <v>45835.564907068729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113</v>
      </c>
      <c r="G73" s="35">
        <f>SUMIFS(WORKING!$AC$3:$AC$6802,WORKING!$A$3:$A$6802,Results!$D$3,WORKING!$B$3:$B$6802,Results!A73,WORKING!$C$3:$C$6802,Results!C73)/1000</f>
        <v>58159.421579999987</v>
      </c>
      <c r="H73" s="35">
        <f t="shared" si="60"/>
        <v>514.68514672566357</v>
      </c>
      <c r="I73" s="187">
        <v>113</v>
      </c>
      <c r="J73" s="212">
        <v>60568</v>
      </c>
      <c r="K73" s="217">
        <f t="shared" si="61"/>
        <v>536</v>
      </c>
      <c r="L73" s="34">
        <f t="shared" si="54"/>
        <v>113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584.32813295614949</v>
      </c>
      <c r="N73" s="57">
        <v>0</v>
      </c>
      <c r="O73" s="57">
        <v>0</v>
      </c>
      <c r="P73" s="61">
        <f t="shared" si="55"/>
        <v>113</v>
      </c>
      <c r="Q73" s="40">
        <f t="shared" si="62"/>
        <v>0</v>
      </c>
      <c r="R73" s="40">
        <f t="shared" si="63"/>
        <v>0</v>
      </c>
      <c r="S73" s="44">
        <f t="shared" si="64"/>
        <v>66029.079024044899</v>
      </c>
      <c r="T73" s="35">
        <f t="shared" si="65"/>
        <v>113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634.27884153663456</v>
      </c>
      <c r="V73" s="57">
        <v>0</v>
      </c>
      <c r="W73" s="57">
        <v>0</v>
      </c>
      <c r="X73" s="61">
        <f t="shared" si="56"/>
        <v>113</v>
      </c>
      <c r="Y73" s="40">
        <f t="shared" si="66"/>
        <v>0</v>
      </c>
      <c r="Z73" s="40">
        <f t="shared" si="67"/>
        <v>0</v>
      </c>
      <c r="AA73" s="44">
        <f t="shared" si="68"/>
        <v>71673.509093639703</v>
      </c>
      <c r="AB73" s="35">
        <f t="shared" si="69"/>
        <v>113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687.85624650107695</v>
      </c>
      <c r="AD73" s="57">
        <v>0</v>
      </c>
      <c r="AE73" s="57">
        <v>0</v>
      </c>
      <c r="AF73" s="61">
        <f t="shared" si="57"/>
        <v>113</v>
      </c>
      <c r="AG73" s="40">
        <f t="shared" si="70"/>
        <v>0</v>
      </c>
      <c r="AH73" s="40">
        <f t="shared" si="71"/>
        <v>0</v>
      </c>
      <c r="AI73" s="44">
        <f t="shared" si="72"/>
        <v>77727.75585462169</v>
      </c>
      <c r="AJ73" s="35">
        <f t="shared" si="58"/>
        <v>113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744.56406640211026</v>
      </c>
      <c r="AL73" s="57">
        <v>0</v>
      </c>
      <c r="AM73" s="57">
        <v>0</v>
      </c>
      <c r="AN73" s="61">
        <f t="shared" si="59"/>
        <v>113</v>
      </c>
      <c r="AO73" s="40">
        <f t="shared" si="73"/>
        <v>0</v>
      </c>
      <c r="AP73" s="40">
        <f t="shared" si="74"/>
        <v>0</v>
      </c>
      <c r="AQ73" s="44">
        <f t="shared" si="75"/>
        <v>84135.739503438454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31</v>
      </c>
      <c r="G74" s="35">
        <f>SUMIFS(WORKING!$AC$3:$AC$6802,WORKING!$A$3:$A$6802,Results!$D$3,WORKING!$B$3:$B$6802,Results!A74,WORKING!$C$3:$C$6802,Results!C74)/1000</f>
        <v>18927.605929999991</v>
      </c>
      <c r="H74" s="35">
        <f t="shared" si="60"/>
        <v>610.5679332258062</v>
      </c>
      <c r="I74" s="187">
        <v>31</v>
      </c>
      <c r="J74" s="212">
        <v>19721</v>
      </c>
      <c r="K74" s="217">
        <f t="shared" si="61"/>
        <v>636.16129032258061</v>
      </c>
      <c r="L74" s="34">
        <f t="shared" si="54"/>
        <v>31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694.39243599226882</v>
      </c>
      <c r="N74" s="57">
        <v>0</v>
      </c>
      <c r="O74" s="57">
        <v>0</v>
      </c>
      <c r="P74" s="61">
        <f t="shared" si="55"/>
        <v>31</v>
      </c>
      <c r="Q74" s="40">
        <f t="shared" si="62"/>
        <v>0</v>
      </c>
      <c r="R74" s="40">
        <f t="shared" si="63"/>
        <v>0</v>
      </c>
      <c r="S74" s="44">
        <f t="shared" si="64"/>
        <v>21526.165515760335</v>
      </c>
      <c r="T74" s="35">
        <f t="shared" si="65"/>
        <v>31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753.72727267339917</v>
      </c>
      <c r="V74" s="57">
        <v>0</v>
      </c>
      <c r="W74" s="57">
        <v>0</v>
      </c>
      <c r="X74" s="61">
        <f t="shared" si="56"/>
        <v>31</v>
      </c>
      <c r="Y74" s="40">
        <f t="shared" si="66"/>
        <v>0</v>
      </c>
      <c r="Z74" s="40">
        <f t="shared" si="67"/>
        <v>0</v>
      </c>
      <c r="AA74" s="44">
        <f t="shared" si="68"/>
        <v>23365.545452875373</v>
      </c>
      <c r="AB74" s="35">
        <f t="shared" si="69"/>
        <v>31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817.36757643931242</v>
      </c>
      <c r="AD74" s="57">
        <v>0</v>
      </c>
      <c r="AE74" s="57">
        <v>1</v>
      </c>
      <c r="AF74" s="61">
        <f t="shared" si="57"/>
        <v>30</v>
      </c>
      <c r="AG74" s="40">
        <f t="shared" si="70"/>
        <v>0</v>
      </c>
      <c r="AH74" s="40">
        <f t="shared" si="71"/>
        <v>-817.36757643931242</v>
      </c>
      <c r="AI74" s="44">
        <f t="shared" si="72"/>
        <v>24521.027293179373</v>
      </c>
      <c r="AJ74" s="35">
        <f t="shared" si="58"/>
        <v>30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884.72295634090813</v>
      </c>
      <c r="AL74" s="57">
        <v>0</v>
      </c>
      <c r="AM74" s="57">
        <v>1</v>
      </c>
      <c r="AN74" s="61">
        <f t="shared" si="59"/>
        <v>29</v>
      </c>
      <c r="AO74" s="40">
        <f t="shared" si="73"/>
        <v>0</v>
      </c>
      <c r="AP74" s="40">
        <f t="shared" si="74"/>
        <v>-884.72295634090813</v>
      </c>
      <c r="AQ74" s="44">
        <f t="shared" si="75"/>
        <v>25656.965733886336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73</v>
      </c>
      <c r="G75" s="35">
        <f>SUMIFS(WORKING!$AC$3:$AC$6802,WORKING!$A$3:$A$6802,Results!$D$3,WORKING!$B$3:$B$6802,Results!A75,WORKING!$C$3:$C$6802,Results!C75)/1000</f>
        <v>53573.959729999995</v>
      </c>
      <c r="H75" s="35">
        <f t="shared" si="60"/>
        <v>733.88985931506841</v>
      </c>
      <c r="I75" s="187">
        <v>73</v>
      </c>
      <c r="J75" s="212">
        <v>53574</v>
      </c>
      <c r="K75" s="217">
        <f t="shared" si="61"/>
        <v>733.89041095890411</v>
      </c>
      <c r="L75" s="34">
        <f t="shared" si="54"/>
        <v>73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801.26721393271453</v>
      </c>
      <c r="N75" s="57">
        <v>0</v>
      </c>
      <c r="O75" s="57">
        <v>0</v>
      </c>
      <c r="P75" s="61">
        <f t="shared" si="55"/>
        <v>73</v>
      </c>
      <c r="Q75" s="40">
        <f t="shared" si="62"/>
        <v>0</v>
      </c>
      <c r="R75" s="40">
        <f t="shared" si="63"/>
        <v>0</v>
      </c>
      <c r="S75" s="44">
        <f t="shared" si="64"/>
        <v>58492.506617088162</v>
      </c>
      <c r="T75" s="35">
        <f t="shared" si="65"/>
        <v>73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869.95149466898226</v>
      </c>
      <c r="V75" s="57">
        <v>0</v>
      </c>
      <c r="W75" s="57">
        <v>2</v>
      </c>
      <c r="X75" s="61">
        <f t="shared" si="56"/>
        <v>71</v>
      </c>
      <c r="Y75" s="40">
        <f t="shared" si="66"/>
        <v>0</v>
      </c>
      <c r="Z75" s="40">
        <f t="shared" si="67"/>
        <v>-1739.9029893379645</v>
      </c>
      <c r="AA75" s="44">
        <f t="shared" si="68"/>
        <v>61766.556121497742</v>
      </c>
      <c r="AB75" s="35">
        <f t="shared" si="69"/>
        <v>71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943.64063027586769</v>
      </c>
      <c r="AD75" s="57">
        <v>0</v>
      </c>
      <c r="AE75" s="57">
        <v>0</v>
      </c>
      <c r="AF75" s="61">
        <f t="shared" si="57"/>
        <v>71</v>
      </c>
      <c r="AG75" s="40">
        <f t="shared" si="70"/>
        <v>0</v>
      </c>
      <c r="AH75" s="40">
        <f t="shared" si="71"/>
        <v>0</v>
      </c>
      <c r="AI75" s="44">
        <f t="shared" si="72"/>
        <v>66998.484749586612</v>
      </c>
      <c r="AJ75" s="35">
        <f t="shared" si="58"/>
        <v>71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1021.6565874952146</v>
      </c>
      <c r="AL75" s="57">
        <v>0</v>
      </c>
      <c r="AM75" s="57">
        <v>0</v>
      </c>
      <c r="AN75" s="61">
        <f t="shared" si="59"/>
        <v>71</v>
      </c>
      <c r="AO75" s="40">
        <f t="shared" si="73"/>
        <v>0</v>
      </c>
      <c r="AP75" s="40">
        <f t="shared" si="74"/>
        <v>0</v>
      </c>
      <c r="AQ75" s="44">
        <f t="shared" si="75"/>
        <v>72537.617712160238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49</v>
      </c>
      <c r="G76" s="35">
        <f>SUMIFS(WORKING!$AC$3:$AC$6802,WORKING!$A$3:$A$6802,Results!$D$3,WORKING!$B$3:$B$6802,Results!A76,WORKING!$C$3:$C$6802,Results!C76)/1000</f>
        <v>47485.182610000003</v>
      </c>
      <c r="H76" s="35">
        <f t="shared" si="60"/>
        <v>969.08535938775515</v>
      </c>
      <c r="I76" s="187">
        <v>45</v>
      </c>
      <c r="J76" s="212">
        <v>43605</v>
      </c>
      <c r="K76" s="217">
        <f t="shared" si="61"/>
        <v>969</v>
      </c>
      <c r="L76" s="34">
        <f t="shared" si="54"/>
        <v>45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1015.4549913536296</v>
      </c>
      <c r="N76" s="57">
        <v>0</v>
      </c>
      <c r="O76" s="57">
        <v>0</v>
      </c>
      <c r="P76" s="61">
        <f t="shared" si="55"/>
        <v>45</v>
      </c>
      <c r="Q76" s="40">
        <f t="shared" si="62"/>
        <v>0</v>
      </c>
      <c r="R76" s="40">
        <f t="shared" si="63"/>
        <v>0</v>
      </c>
      <c r="S76" s="44">
        <f t="shared" si="64"/>
        <v>45695.474610913334</v>
      </c>
      <c r="T76" s="35">
        <f t="shared" si="65"/>
        <v>45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1091.9509337706063</v>
      </c>
      <c r="V76" s="57">
        <v>0</v>
      </c>
      <c r="W76" s="57">
        <v>1</v>
      </c>
      <c r="X76" s="61">
        <f t="shared" si="56"/>
        <v>44</v>
      </c>
      <c r="Y76" s="40">
        <f t="shared" si="66"/>
        <v>0</v>
      </c>
      <c r="Z76" s="40">
        <f t="shared" si="67"/>
        <v>-1091.9509337706063</v>
      </c>
      <c r="AA76" s="44">
        <f t="shared" si="68"/>
        <v>48045.841085906679</v>
      </c>
      <c r="AB76" s="35">
        <f t="shared" si="69"/>
        <v>44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1173.1017001841653</v>
      </c>
      <c r="AD76" s="57">
        <v>0</v>
      </c>
      <c r="AE76" s="57">
        <v>0</v>
      </c>
      <c r="AF76" s="61">
        <f t="shared" si="57"/>
        <v>44</v>
      </c>
      <c r="AG76" s="40">
        <f t="shared" si="70"/>
        <v>0</v>
      </c>
      <c r="AH76" s="40">
        <f t="shared" si="71"/>
        <v>0</v>
      </c>
      <c r="AI76" s="44">
        <f t="shared" si="72"/>
        <v>51616.474808103274</v>
      </c>
      <c r="AJ76" s="35">
        <f t="shared" si="58"/>
        <v>44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1257.9032280422366</v>
      </c>
      <c r="AL76" s="57">
        <v>0</v>
      </c>
      <c r="AM76" s="57">
        <v>0</v>
      </c>
      <c r="AN76" s="61">
        <f t="shared" si="59"/>
        <v>44</v>
      </c>
      <c r="AO76" s="40">
        <f t="shared" si="73"/>
        <v>0</v>
      </c>
      <c r="AP76" s="40">
        <f t="shared" si="74"/>
        <v>0</v>
      </c>
      <c r="AQ76" s="44">
        <f t="shared" si="75"/>
        <v>55347.742033858412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16</v>
      </c>
      <c r="G77" s="35">
        <f>SUMIFS(WORKING!$AC$3:$AC$6802,WORKING!$A$3:$A$6802,Results!$D$3,WORKING!$B$3:$B$6802,Results!A77,WORKING!$C$3:$C$6802,Results!C77)/1000</f>
        <v>18997.048059999997</v>
      </c>
      <c r="H77" s="35">
        <f t="shared" si="60"/>
        <v>1187.3155037499998</v>
      </c>
      <c r="I77" s="187">
        <v>15</v>
      </c>
      <c r="J77" s="212">
        <v>17805</v>
      </c>
      <c r="K77" s="217">
        <f t="shared" si="61"/>
        <v>1187</v>
      </c>
      <c r="L77" s="34">
        <f t="shared" si="54"/>
        <v>15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1244.138196247947</v>
      </c>
      <c r="N77" s="57">
        <v>0</v>
      </c>
      <c r="O77" s="57">
        <v>0</v>
      </c>
      <c r="P77" s="61">
        <f t="shared" si="55"/>
        <v>15</v>
      </c>
      <c r="Q77" s="40">
        <f t="shared" si="62"/>
        <v>0</v>
      </c>
      <c r="R77" s="40">
        <f t="shared" si="63"/>
        <v>0</v>
      </c>
      <c r="S77" s="44">
        <f t="shared" si="64"/>
        <v>18662.072943719206</v>
      </c>
      <c r="T77" s="35">
        <f t="shared" si="65"/>
        <v>15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1338.1107875205671</v>
      </c>
      <c r="V77" s="57">
        <v>0</v>
      </c>
      <c r="W77" s="57">
        <v>0</v>
      </c>
      <c r="X77" s="61">
        <f t="shared" si="56"/>
        <v>15</v>
      </c>
      <c r="Y77" s="40">
        <f t="shared" si="66"/>
        <v>0</v>
      </c>
      <c r="Z77" s="40">
        <f t="shared" si="67"/>
        <v>0</v>
      </c>
      <c r="AA77" s="44">
        <f t="shared" si="68"/>
        <v>20071.661812808507</v>
      </c>
      <c r="AB77" s="35">
        <f t="shared" si="69"/>
        <v>15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1437.8236243706124</v>
      </c>
      <c r="AD77" s="57">
        <v>0</v>
      </c>
      <c r="AE77" s="57">
        <v>0</v>
      </c>
      <c r="AF77" s="61">
        <f t="shared" si="57"/>
        <v>15</v>
      </c>
      <c r="AG77" s="40">
        <f t="shared" si="70"/>
        <v>0</v>
      </c>
      <c r="AH77" s="40">
        <f t="shared" si="71"/>
        <v>0</v>
      </c>
      <c r="AI77" s="44">
        <f t="shared" si="72"/>
        <v>21567.354365559186</v>
      </c>
      <c r="AJ77" s="35">
        <f t="shared" si="58"/>
        <v>15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1542.0490405565997</v>
      </c>
      <c r="AL77" s="57">
        <v>0</v>
      </c>
      <c r="AM77" s="57">
        <v>0</v>
      </c>
      <c r="AN77" s="61">
        <f t="shared" si="59"/>
        <v>15</v>
      </c>
      <c r="AO77" s="40">
        <f t="shared" si="73"/>
        <v>0</v>
      </c>
      <c r="AP77" s="40">
        <f t="shared" si="74"/>
        <v>0</v>
      </c>
      <c r="AQ77" s="44">
        <f t="shared" si="75"/>
        <v>23130.735608348994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9</v>
      </c>
      <c r="G78" s="35">
        <f>SUMIFS(WORKING!$AC$3:$AC$6802,WORKING!$A$3:$A$6802,Results!$D$3,WORKING!$B$3:$B$6802,Results!A78,WORKING!$C$3:$C$6802,Results!C78)/1000</f>
        <v>11510.565460000002</v>
      </c>
      <c r="H78" s="35">
        <f t="shared" si="60"/>
        <v>1278.951717777778</v>
      </c>
      <c r="I78" s="187">
        <v>9</v>
      </c>
      <c r="J78" s="212">
        <v>11682</v>
      </c>
      <c r="K78" s="217">
        <f t="shared" si="61"/>
        <v>1298</v>
      </c>
      <c r="L78" s="34">
        <f t="shared" si="54"/>
        <v>9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1360.622019277188</v>
      </c>
      <c r="N78" s="57">
        <v>0</v>
      </c>
      <c r="O78" s="57">
        <v>0</v>
      </c>
      <c r="P78" s="61">
        <f t="shared" si="55"/>
        <v>9</v>
      </c>
      <c r="Q78" s="40">
        <f t="shared" si="62"/>
        <v>0</v>
      </c>
      <c r="R78" s="40">
        <f t="shared" si="63"/>
        <v>0</v>
      </c>
      <c r="S78" s="44">
        <f t="shared" si="64"/>
        <v>12245.598173494691</v>
      </c>
      <c r="T78" s="35">
        <f t="shared" si="65"/>
        <v>9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1463.5441942122952</v>
      </c>
      <c r="V78" s="57">
        <v>0</v>
      </c>
      <c r="W78" s="57">
        <v>0</v>
      </c>
      <c r="X78" s="61">
        <f t="shared" si="56"/>
        <v>9</v>
      </c>
      <c r="Y78" s="40">
        <f t="shared" si="66"/>
        <v>0</v>
      </c>
      <c r="Z78" s="40">
        <f t="shared" si="67"/>
        <v>0</v>
      </c>
      <c r="AA78" s="44">
        <f t="shared" si="68"/>
        <v>13171.897747910658</v>
      </c>
      <c r="AB78" s="35">
        <f t="shared" si="69"/>
        <v>9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1572.7666167352111</v>
      </c>
      <c r="AD78" s="57">
        <v>0</v>
      </c>
      <c r="AE78" s="57">
        <v>0</v>
      </c>
      <c r="AF78" s="61">
        <f t="shared" si="57"/>
        <v>9</v>
      </c>
      <c r="AG78" s="40">
        <f t="shared" si="70"/>
        <v>0</v>
      </c>
      <c r="AH78" s="40">
        <f t="shared" si="71"/>
        <v>0</v>
      </c>
      <c r="AI78" s="44">
        <f t="shared" si="72"/>
        <v>14154.899550616899</v>
      </c>
      <c r="AJ78" s="35">
        <f t="shared" si="58"/>
        <v>9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1686.948213305385</v>
      </c>
      <c r="AL78" s="57">
        <v>0</v>
      </c>
      <c r="AM78" s="57">
        <v>0</v>
      </c>
      <c r="AN78" s="61">
        <f t="shared" si="59"/>
        <v>9</v>
      </c>
      <c r="AO78" s="40">
        <f t="shared" si="73"/>
        <v>0</v>
      </c>
      <c r="AP78" s="40">
        <f t="shared" si="74"/>
        <v>0</v>
      </c>
      <c r="AQ78" s="44">
        <f t="shared" si="75"/>
        <v>15182.533919748465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6372.0450099999998</v>
      </c>
      <c r="H79" s="35">
        <f t="shared" si="60"/>
        <v>2124.0150033333334</v>
      </c>
      <c r="I79" s="187">
        <v>3</v>
      </c>
      <c r="J79" s="212">
        <v>6372</v>
      </c>
      <c r="K79" s="217">
        <f t="shared" si="61"/>
        <v>2124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2226.7270288336658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6680.1810865009975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2395.4383209978027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7186.3149629934087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2574.501207483851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7723.5036224515534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2761.7237452504019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8285.171235751206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737</v>
      </c>
      <c r="G84" s="41">
        <f>SUM(G64:G83)</f>
        <v>346091.71649000002</v>
      </c>
      <c r="H84" s="41">
        <f>IFERROR(G84/F84,0)</f>
        <v>469.59527339213031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932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349622</v>
      </c>
      <c r="K84" s="41">
        <f>IFERROR(J84/I84,"")</f>
        <v>375.13090128755363</v>
      </c>
      <c r="L84" s="41">
        <f>SUM(L64:L83)</f>
        <v>932</v>
      </c>
      <c r="M84" s="41">
        <f>IFERROR(S84/P84,0)</f>
        <v>407.39871429982497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932</v>
      </c>
      <c r="Q84" s="41">
        <f t="shared" si="98"/>
        <v>0</v>
      </c>
      <c r="R84" s="41">
        <f t="shared" si="98"/>
        <v>0</v>
      </c>
      <c r="S84" s="45">
        <f t="shared" si="98"/>
        <v>379695.60172743688</v>
      </c>
      <c r="T84" s="41">
        <f t="shared" si="98"/>
        <v>932</v>
      </c>
      <c r="U84" s="41">
        <f>IFERROR(AA84/X84,0)</f>
        <v>440.32569440538413</v>
      </c>
      <c r="V84" s="41">
        <f t="shared" ref="V84:AB84" si="99">SUM(V64:V83)</f>
        <v>0</v>
      </c>
      <c r="W84" s="41">
        <f t="shared" si="99"/>
        <v>8</v>
      </c>
      <c r="X84" s="41">
        <f t="shared" si="99"/>
        <v>924</v>
      </c>
      <c r="Y84" s="41">
        <f t="shared" si="99"/>
        <v>0</v>
      </c>
      <c r="Z84" s="41">
        <f t="shared" si="99"/>
        <v>-4415.7065430282655</v>
      </c>
      <c r="AA84" s="45">
        <f t="shared" si="99"/>
        <v>406860.94163057493</v>
      </c>
      <c r="AB84" s="41">
        <f t="shared" si="99"/>
        <v>924</v>
      </c>
      <c r="AC84" s="41">
        <f>IFERROR(AI84/AF84,0)</f>
        <v>476.43557027972145</v>
      </c>
      <c r="AD84" s="41">
        <f t="shared" ref="AD84:AJ84" si="100">SUM(AD64:AD83)</f>
        <v>0</v>
      </c>
      <c r="AE84" s="41">
        <f t="shared" si="100"/>
        <v>2</v>
      </c>
      <c r="AF84" s="41">
        <f t="shared" si="100"/>
        <v>922</v>
      </c>
      <c r="AG84" s="41">
        <f t="shared" si="100"/>
        <v>0</v>
      </c>
      <c r="AH84" s="41">
        <f t="shared" si="100"/>
        <v>-1022.800814017183</v>
      </c>
      <c r="AI84" s="45">
        <f t="shared" si="100"/>
        <v>439273.5957979032</v>
      </c>
      <c r="AJ84" s="41">
        <f t="shared" si="100"/>
        <v>922</v>
      </c>
      <c r="AK84" s="41">
        <f>IFERROR(AQ84/AN84,0)</f>
        <v>514.22544003751364</v>
      </c>
      <c r="AL84" s="41">
        <f t="shared" ref="AL84:AQ84" si="101">SUM(AL64:AL83)</f>
        <v>0</v>
      </c>
      <c r="AM84" s="41">
        <f t="shared" si="101"/>
        <v>1</v>
      </c>
      <c r="AN84" s="41">
        <f t="shared" si="101"/>
        <v>921</v>
      </c>
      <c r="AO84" s="41">
        <f t="shared" si="101"/>
        <v>0</v>
      </c>
      <c r="AP84" s="41">
        <f t="shared" si="101"/>
        <v>-884.72295634090813</v>
      </c>
      <c r="AQ84" s="45">
        <f t="shared" si="101"/>
        <v>473601.63027455006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385900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440320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475867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512032.89200000005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6204.3982725631213</v>
      </c>
      <c r="T86" s="39"/>
      <c r="U86" s="39"/>
      <c r="V86" s="53"/>
      <c r="W86" s="53"/>
      <c r="X86" s="110"/>
      <c r="Y86" s="39"/>
      <c r="Z86" s="39"/>
      <c r="AA86" s="54">
        <f>AA85-AA84</f>
        <v>33459.058369425067</v>
      </c>
      <c r="AB86" s="39"/>
      <c r="AC86" s="53"/>
      <c r="AD86" s="53"/>
      <c r="AE86" s="110"/>
      <c r="AF86" s="39"/>
      <c r="AG86" s="39"/>
      <c r="AH86" s="39"/>
      <c r="AI86" s="54">
        <f>AI85-AI84</f>
        <v>36593.404202096805</v>
      </c>
      <c r="AJ86" s="53"/>
      <c r="AK86" s="53"/>
      <c r="AL86" s="110"/>
      <c r="AM86" s="110"/>
      <c r="AN86" s="110"/>
      <c r="AO86" s="110"/>
      <c r="AP86" s="111"/>
      <c r="AQ86" s="54">
        <f>AQ85-AQ84</f>
        <v>38431.261725449993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Legal, Authorisations and Compliance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1</v>
      </c>
      <c r="G95" s="35">
        <f>SUMIFS(WORKING!$AC$3:$AC$6802,WORKING!$A$3:$A$6802,Results!$D$3,WORKING!$B$3:$B$6802,Results!A95,WORKING!$C$3:$C$6802,Results!C95)/1000</f>
        <v>194.05540999999999</v>
      </c>
      <c r="H95" s="35">
        <f t="shared" si="108"/>
        <v>194.05540999999999</v>
      </c>
      <c r="I95" s="187">
        <v>1</v>
      </c>
      <c r="J95" s="212">
        <v>194</v>
      </c>
      <c r="K95" s="217">
        <f t="shared" si="109"/>
        <v>194</v>
      </c>
      <c r="L95" s="34">
        <f t="shared" si="102"/>
        <v>1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210.75860516809755</v>
      </c>
      <c r="N95" s="57">
        <v>0</v>
      </c>
      <c r="O95" s="57">
        <v>0</v>
      </c>
      <c r="P95" s="61">
        <f t="shared" si="103"/>
        <v>1</v>
      </c>
      <c r="Q95" s="40">
        <f t="shared" si="110"/>
        <v>0</v>
      </c>
      <c r="R95" s="40">
        <f t="shared" si="111"/>
        <v>0</v>
      </c>
      <c r="S95" s="44">
        <f t="shared" si="112"/>
        <v>210.75860516809755</v>
      </c>
      <c r="T95" s="35">
        <f t="shared" si="113"/>
        <v>1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228.54279312055618</v>
      </c>
      <c r="V95" s="57">
        <v>0</v>
      </c>
      <c r="W95" s="57">
        <v>0</v>
      </c>
      <c r="X95" s="61">
        <f t="shared" si="104"/>
        <v>1</v>
      </c>
      <c r="Y95" s="40">
        <f t="shared" si="114"/>
        <v>0</v>
      </c>
      <c r="Z95" s="40">
        <f t="shared" si="115"/>
        <v>0</v>
      </c>
      <c r="AA95" s="44">
        <f t="shared" si="116"/>
        <v>228.54279312055618</v>
      </c>
      <c r="AB95" s="35">
        <f t="shared" si="117"/>
        <v>1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247.59636679398679</v>
      </c>
      <c r="AD95" s="57">
        <v>0</v>
      </c>
      <c r="AE95" s="57">
        <v>0</v>
      </c>
      <c r="AF95" s="61">
        <f t="shared" si="105"/>
        <v>1</v>
      </c>
      <c r="AG95" s="40">
        <f t="shared" si="118"/>
        <v>0</v>
      </c>
      <c r="AH95" s="40">
        <f t="shared" si="119"/>
        <v>0</v>
      </c>
      <c r="AI95" s="44">
        <f t="shared" si="120"/>
        <v>247.59636679398679</v>
      </c>
      <c r="AJ95" s="35">
        <f t="shared" si="106"/>
        <v>1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267.73731908128508</v>
      </c>
      <c r="AL95" s="57">
        <v>0</v>
      </c>
      <c r="AM95" s="57">
        <v>0</v>
      </c>
      <c r="AN95" s="61">
        <f t="shared" si="107"/>
        <v>1</v>
      </c>
      <c r="AO95" s="40">
        <f t="shared" si="121"/>
        <v>0</v>
      </c>
      <c r="AP95" s="40">
        <f t="shared" si="122"/>
        <v>0</v>
      </c>
      <c r="AQ95" s="44">
        <f t="shared" si="123"/>
        <v>267.73731908128508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0.9</v>
      </c>
      <c r="H96" s="35">
        <f t="shared" si="108"/>
        <v>0</v>
      </c>
      <c r="I96" s="187">
        <v>0</v>
      </c>
      <c r="J96" s="212">
        <v>0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10</v>
      </c>
      <c r="G97" s="35">
        <f>SUMIFS(WORKING!$AC$3:$AC$6802,WORKING!$A$3:$A$6802,Results!$D$3,WORKING!$B$3:$B$6802,Results!A97,WORKING!$C$3:$C$6802,Results!C97)/1000</f>
        <v>2181.4250500000003</v>
      </c>
      <c r="H97" s="35">
        <f t="shared" si="108"/>
        <v>218.14250500000003</v>
      </c>
      <c r="I97" s="187">
        <v>10</v>
      </c>
      <c r="J97" s="212">
        <v>2220</v>
      </c>
      <c r="K97" s="217">
        <f t="shared" si="109"/>
        <v>222</v>
      </c>
      <c r="L97" s="34">
        <f t="shared" si="102"/>
        <v>10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241.37006999620132</v>
      </c>
      <c r="N97" s="57">
        <v>0</v>
      </c>
      <c r="O97" s="57">
        <v>0</v>
      </c>
      <c r="P97" s="61">
        <f t="shared" si="103"/>
        <v>10</v>
      </c>
      <c r="Q97" s="40">
        <f t="shared" si="110"/>
        <v>0</v>
      </c>
      <c r="R97" s="40">
        <f t="shared" si="111"/>
        <v>0</v>
      </c>
      <c r="S97" s="44">
        <f t="shared" si="112"/>
        <v>2413.7006999620135</v>
      </c>
      <c r="T97" s="35">
        <f t="shared" si="113"/>
        <v>10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261.80317180076611</v>
      </c>
      <c r="V97" s="57">
        <v>0</v>
      </c>
      <c r="W97" s="57">
        <v>0</v>
      </c>
      <c r="X97" s="61">
        <f t="shared" si="104"/>
        <v>10</v>
      </c>
      <c r="Y97" s="40">
        <f t="shared" si="114"/>
        <v>0</v>
      </c>
      <c r="Z97" s="40">
        <f t="shared" si="115"/>
        <v>0</v>
      </c>
      <c r="AA97" s="44">
        <f t="shared" si="116"/>
        <v>2618.0317180076609</v>
      </c>
      <c r="AB97" s="35">
        <f t="shared" si="117"/>
        <v>10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283.70073755365979</v>
      </c>
      <c r="AD97" s="57">
        <v>0</v>
      </c>
      <c r="AE97" s="57">
        <v>0</v>
      </c>
      <c r="AF97" s="61">
        <f t="shared" si="105"/>
        <v>10</v>
      </c>
      <c r="AG97" s="40">
        <f t="shared" si="118"/>
        <v>0</v>
      </c>
      <c r="AH97" s="40">
        <f t="shared" si="119"/>
        <v>0</v>
      </c>
      <c r="AI97" s="44">
        <f t="shared" si="120"/>
        <v>2837.0073755365979</v>
      </c>
      <c r="AJ97" s="35">
        <f t="shared" si="106"/>
        <v>10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306.85487909182615</v>
      </c>
      <c r="AL97" s="57">
        <v>0</v>
      </c>
      <c r="AM97" s="57">
        <v>0</v>
      </c>
      <c r="AN97" s="61">
        <f t="shared" si="107"/>
        <v>10</v>
      </c>
      <c r="AO97" s="40">
        <f t="shared" si="121"/>
        <v>0</v>
      </c>
      <c r="AP97" s="40">
        <f t="shared" si="122"/>
        <v>0</v>
      </c>
      <c r="AQ97" s="44">
        <f t="shared" si="123"/>
        <v>3068.5487909182616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18</v>
      </c>
      <c r="G98" s="35">
        <f>SUMIFS(WORKING!$AC$3:$AC$6802,WORKING!$A$3:$A$6802,Results!$D$3,WORKING!$B$3:$B$6802,Results!A98,WORKING!$C$3:$C$6802,Results!C98)/1000</f>
        <v>3825.3693199999998</v>
      </c>
      <c r="H98" s="35">
        <f t="shared" si="108"/>
        <v>212.52051777777777</v>
      </c>
      <c r="I98" s="187">
        <v>19</v>
      </c>
      <c r="J98" s="212">
        <v>5310</v>
      </c>
      <c r="K98" s="217">
        <f t="shared" si="109"/>
        <v>279.4736842105263</v>
      </c>
      <c r="L98" s="34">
        <f t="shared" si="102"/>
        <v>19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304.38553724347241</v>
      </c>
      <c r="N98" s="57">
        <v>0</v>
      </c>
      <c r="O98" s="57">
        <v>0</v>
      </c>
      <c r="P98" s="61">
        <f t="shared" si="103"/>
        <v>19</v>
      </c>
      <c r="Q98" s="40">
        <f t="shared" si="110"/>
        <v>0</v>
      </c>
      <c r="R98" s="40">
        <f t="shared" si="111"/>
        <v>0</v>
      </c>
      <c r="S98" s="44">
        <f t="shared" si="112"/>
        <v>5783.325207625976</v>
      </c>
      <c r="T98" s="35">
        <f t="shared" si="113"/>
        <v>19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330.31546137701179</v>
      </c>
      <c r="V98" s="57">
        <v>0</v>
      </c>
      <c r="W98" s="57">
        <v>0</v>
      </c>
      <c r="X98" s="61">
        <f t="shared" si="104"/>
        <v>19</v>
      </c>
      <c r="Y98" s="40">
        <f t="shared" si="114"/>
        <v>0</v>
      </c>
      <c r="Z98" s="40">
        <f t="shared" si="115"/>
        <v>0</v>
      </c>
      <c r="AA98" s="44">
        <f t="shared" si="116"/>
        <v>6275.9937661632239</v>
      </c>
      <c r="AB98" s="35">
        <f t="shared" si="117"/>
        <v>19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358.11944610820268</v>
      </c>
      <c r="AD98" s="57">
        <v>0</v>
      </c>
      <c r="AE98" s="57">
        <v>0</v>
      </c>
      <c r="AF98" s="61">
        <f t="shared" si="105"/>
        <v>19</v>
      </c>
      <c r="AG98" s="40">
        <f t="shared" si="118"/>
        <v>0</v>
      </c>
      <c r="AH98" s="40">
        <f t="shared" si="119"/>
        <v>0</v>
      </c>
      <c r="AI98" s="44">
        <f t="shared" si="120"/>
        <v>6804.2694760558506</v>
      </c>
      <c r="AJ98" s="35">
        <f t="shared" si="106"/>
        <v>19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387.53772928176386</v>
      </c>
      <c r="AL98" s="57">
        <v>0</v>
      </c>
      <c r="AM98" s="57">
        <v>0</v>
      </c>
      <c r="AN98" s="61">
        <f t="shared" si="107"/>
        <v>19</v>
      </c>
      <c r="AO98" s="40">
        <f t="shared" si="121"/>
        <v>0</v>
      </c>
      <c r="AP98" s="40">
        <f t="shared" si="122"/>
        <v>0</v>
      </c>
      <c r="AQ98" s="44">
        <f t="shared" si="123"/>
        <v>7363.2168563535133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4</v>
      </c>
      <c r="G99" s="35">
        <f>SUMIFS(WORKING!$AC$3:$AC$6802,WORKING!$A$3:$A$6802,Results!$D$3,WORKING!$B$3:$B$6802,Results!A99,WORKING!$C$3:$C$6802,Results!C99)/1000</f>
        <v>1160.72973</v>
      </c>
      <c r="H99" s="35">
        <f t="shared" si="108"/>
        <v>290.1824325</v>
      </c>
      <c r="I99" s="187">
        <v>4</v>
      </c>
      <c r="J99" s="212">
        <v>1403</v>
      </c>
      <c r="K99" s="217">
        <f t="shared" si="109"/>
        <v>350.75</v>
      </c>
      <c r="L99" s="34">
        <f t="shared" si="102"/>
        <v>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381.88930523485737</v>
      </c>
      <c r="N99" s="57">
        <v>0</v>
      </c>
      <c r="O99" s="57">
        <v>0</v>
      </c>
      <c r="P99" s="61">
        <f t="shared" si="103"/>
        <v>4</v>
      </c>
      <c r="Q99" s="40">
        <f t="shared" si="110"/>
        <v>0</v>
      </c>
      <c r="R99" s="40">
        <f t="shared" si="111"/>
        <v>0</v>
      </c>
      <c r="S99" s="44">
        <f t="shared" si="112"/>
        <v>1527.5572209394295</v>
      </c>
      <c r="T99" s="35">
        <f t="shared" si="113"/>
        <v>4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414.38307651472269</v>
      </c>
      <c r="V99" s="57">
        <v>0</v>
      </c>
      <c r="W99" s="57">
        <v>0</v>
      </c>
      <c r="X99" s="61">
        <f t="shared" si="104"/>
        <v>4</v>
      </c>
      <c r="Y99" s="40">
        <f t="shared" si="114"/>
        <v>0</v>
      </c>
      <c r="Z99" s="40">
        <f t="shared" si="115"/>
        <v>0</v>
      </c>
      <c r="AA99" s="44">
        <f t="shared" si="116"/>
        <v>1657.5323060588908</v>
      </c>
      <c r="AB99" s="35">
        <f t="shared" si="117"/>
        <v>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449.22160003514648</v>
      </c>
      <c r="AD99" s="57">
        <v>0</v>
      </c>
      <c r="AE99" s="57">
        <v>0</v>
      </c>
      <c r="AF99" s="61">
        <f t="shared" si="105"/>
        <v>4</v>
      </c>
      <c r="AG99" s="40">
        <f t="shared" si="118"/>
        <v>0</v>
      </c>
      <c r="AH99" s="40">
        <f t="shared" si="119"/>
        <v>0</v>
      </c>
      <c r="AI99" s="44">
        <f t="shared" si="120"/>
        <v>1796.8864001405859</v>
      </c>
      <c r="AJ99" s="35">
        <f t="shared" si="106"/>
        <v>4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486.07839918626695</v>
      </c>
      <c r="AL99" s="57">
        <v>0</v>
      </c>
      <c r="AM99" s="57">
        <v>0</v>
      </c>
      <c r="AN99" s="61">
        <f t="shared" si="107"/>
        <v>4</v>
      </c>
      <c r="AO99" s="40">
        <f t="shared" si="121"/>
        <v>0</v>
      </c>
      <c r="AP99" s="40">
        <f t="shared" si="122"/>
        <v>0</v>
      </c>
      <c r="AQ99" s="44">
        <f t="shared" si="123"/>
        <v>1944.3135967450678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35</v>
      </c>
      <c r="G100" s="35">
        <f>SUMIFS(WORKING!$AC$3:$AC$6802,WORKING!$A$3:$A$6802,Results!$D$3,WORKING!$B$3:$B$6802,Results!A100,WORKING!$C$3:$C$6802,Results!C100)/1000</f>
        <v>14357.432269999998</v>
      </c>
      <c r="H100" s="35">
        <f t="shared" si="108"/>
        <v>410.21235057142849</v>
      </c>
      <c r="I100" s="187">
        <v>35</v>
      </c>
      <c r="J100" s="212">
        <v>14306</v>
      </c>
      <c r="K100" s="217">
        <f t="shared" si="109"/>
        <v>408.74285714285713</v>
      </c>
      <c r="L100" s="34">
        <f t="shared" si="102"/>
        <v>35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445.41559088696459</v>
      </c>
      <c r="N100" s="57">
        <v>0</v>
      </c>
      <c r="O100" s="57">
        <v>0</v>
      </c>
      <c r="P100" s="61">
        <f t="shared" si="103"/>
        <v>35</v>
      </c>
      <c r="Q100" s="40">
        <f t="shared" si="110"/>
        <v>0</v>
      </c>
      <c r="R100" s="40">
        <f t="shared" si="111"/>
        <v>0</v>
      </c>
      <c r="S100" s="44">
        <f t="shared" si="112"/>
        <v>15589.545681043761</v>
      </c>
      <c r="T100" s="35">
        <f t="shared" si="113"/>
        <v>35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483.43556382456455</v>
      </c>
      <c r="V100" s="57">
        <v>0</v>
      </c>
      <c r="W100" s="57">
        <v>0</v>
      </c>
      <c r="X100" s="61">
        <f t="shared" si="104"/>
        <v>35</v>
      </c>
      <c r="Y100" s="40">
        <f t="shared" si="114"/>
        <v>0</v>
      </c>
      <c r="Z100" s="40">
        <f t="shared" si="115"/>
        <v>0</v>
      </c>
      <c r="AA100" s="44">
        <f t="shared" si="116"/>
        <v>16920.244733859759</v>
      </c>
      <c r="AB100" s="35">
        <f t="shared" si="117"/>
        <v>35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524.21060378293328</v>
      </c>
      <c r="AD100" s="57">
        <v>0</v>
      </c>
      <c r="AE100" s="57">
        <v>0</v>
      </c>
      <c r="AF100" s="61">
        <f t="shared" si="105"/>
        <v>35</v>
      </c>
      <c r="AG100" s="40">
        <f t="shared" si="118"/>
        <v>0</v>
      </c>
      <c r="AH100" s="40">
        <f t="shared" si="119"/>
        <v>0</v>
      </c>
      <c r="AI100" s="44">
        <f t="shared" si="120"/>
        <v>18347.371132402666</v>
      </c>
      <c r="AJ100" s="35">
        <f t="shared" si="106"/>
        <v>35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567.36156957556409</v>
      </c>
      <c r="AL100" s="57">
        <v>0</v>
      </c>
      <c r="AM100" s="57">
        <v>0</v>
      </c>
      <c r="AN100" s="61">
        <f t="shared" si="107"/>
        <v>35</v>
      </c>
      <c r="AO100" s="40">
        <f t="shared" si="121"/>
        <v>0</v>
      </c>
      <c r="AP100" s="40">
        <f t="shared" si="122"/>
        <v>0</v>
      </c>
      <c r="AQ100" s="44">
        <f t="shared" si="123"/>
        <v>19857.654935144743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45</v>
      </c>
      <c r="G101" s="35">
        <f>SUMIFS(WORKING!$AC$3:$AC$6802,WORKING!$A$3:$A$6802,Results!$D$3,WORKING!$B$3:$B$6802,Results!A101,WORKING!$C$3:$C$6802,Results!C101)/1000</f>
        <v>24381.314200000004</v>
      </c>
      <c r="H101" s="35">
        <f t="shared" si="108"/>
        <v>541.80698222222236</v>
      </c>
      <c r="I101" s="187">
        <v>45</v>
      </c>
      <c r="J101" s="212">
        <v>24381</v>
      </c>
      <c r="K101" s="217">
        <f t="shared" si="109"/>
        <v>541.79999999999995</v>
      </c>
      <c r="L101" s="34">
        <f t="shared" si="102"/>
        <v>45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590.70378429787934</v>
      </c>
      <c r="N101" s="57">
        <v>0</v>
      </c>
      <c r="O101" s="57">
        <v>0</v>
      </c>
      <c r="P101" s="61">
        <f t="shared" si="103"/>
        <v>45</v>
      </c>
      <c r="Q101" s="40">
        <f t="shared" si="110"/>
        <v>0</v>
      </c>
      <c r="R101" s="40">
        <f t="shared" si="111"/>
        <v>0</v>
      </c>
      <c r="S101" s="44">
        <f t="shared" si="112"/>
        <v>26581.670293404572</v>
      </c>
      <c r="T101" s="35">
        <f t="shared" si="113"/>
        <v>45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641.21554723612951</v>
      </c>
      <c r="V101" s="57">
        <v>0</v>
      </c>
      <c r="W101" s="57">
        <v>0</v>
      </c>
      <c r="X101" s="61">
        <f t="shared" si="104"/>
        <v>45</v>
      </c>
      <c r="Y101" s="40">
        <f t="shared" si="114"/>
        <v>0</v>
      </c>
      <c r="Z101" s="40">
        <f t="shared" si="115"/>
        <v>0</v>
      </c>
      <c r="AA101" s="44">
        <f t="shared" si="116"/>
        <v>28854.699625625828</v>
      </c>
      <c r="AB101" s="35">
        <f t="shared" si="117"/>
        <v>45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695.3963004799997</v>
      </c>
      <c r="AD101" s="57">
        <v>0</v>
      </c>
      <c r="AE101" s="57">
        <v>0</v>
      </c>
      <c r="AF101" s="61">
        <f t="shared" si="105"/>
        <v>45</v>
      </c>
      <c r="AG101" s="40">
        <f t="shared" si="118"/>
        <v>0</v>
      </c>
      <c r="AH101" s="40">
        <f t="shared" si="119"/>
        <v>0</v>
      </c>
      <c r="AI101" s="44">
        <f t="shared" si="120"/>
        <v>31292.833521599987</v>
      </c>
      <c r="AJ101" s="35">
        <f t="shared" si="106"/>
        <v>45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752.7446023287165</v>
      </c>
      <c r="AL101" s="57">
        <v>0</v>
      </c>
      <c r="AM101" s="57">
        <v>0</v>
      </c>
      <c r="AN101" s="61">
        <f t="shared" si="107"/>
        <v>45</v>
      </c>
      <c r="AO101" s="40">
        <f t="shared" si="121"/>
        <v>0</v>
      </c>
      <c r="AP101" s="40">
        <f t="shared" si="122"/>
        <v>0</v>
      </c>
      <c r="AQ101" s="44">
        <f t="shared" si="123"/>
        <v>33873.507104792239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17</v>
      </c>
      <c r="G102" s="35">
        <f>SUMIFS(WORKING!$AC$3:$AC$6802,WORKING!$A$3:$A$6802,Results!$D$3,WORKING!$B$3:$B$6802,Results!A102,WORKING!$C$3:$C$6802,Results!C102)/1000</f>
        <v>10788.632090000001</v>
      </c>
      <c r="H102" s="35">
        <f t="shared" si="108"/>
        <v>634.62541705882359</v>
      </c>
      <c r="I102" s="187">
        <v>13</v>
      </c>
      <c r="J102" s="212">
        <v>8255</v>
      </c>
      <c r="K102" s="217">
        <f t="shared" si="109"/>
        <v>635</v>
      </c>
      <c r="L102" s="34">
        <f t="shared" si="102"/>
        <v>13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692.99103987803983</v>
      </c>
      <c r="N102" s="57">
        <v>0</v>
      </c>
      <c r="O102" s="57">
        <v>0</v>
      </c>
      <c r="P102" s="61">
        <f t="shared" si="103"/>
        <v>13</v>
      </c>
      <c r="Q102" s="40">
        <f t="shared" si="110"/>
        <v>0</v>
      </c>
      <c r="R102" s="40">
        <f t="shared" si="111"/>
        <v>0</v>
      </c>
      <c r="S102" s="44">
        <f t="shared" si="112"/>
        <v>9008.8835184145173</v>
      </c>
      <c r="T102" s="35">
        <f t="shared" si="113"/>
        <v>13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752.06091684839498</v>
      </c>
      <c r="V102" s="57">
        <v>0</v>
      </c>
      <c r="W102" s="57">
        <v>0</v>
      </c>
      <c r="X102" s="61">
        <f t="shared" si="104"/>
        <v>13</v>
      </c>
      <c r="Y102" s="40">
        <f t="shared" si="114"/>
        <v>0</v>
      </c>
      <c r="Z102" s="40">
        <f t="shared" si="115"/>
        <v>0</v>
      </c>
      <c r="AA102" s="44">
        <f t="shared" si="116"/>
        <v>9776.7919190291341</v>
      </c>
      <c r="AB102" s="35">
        <f t="shared" si="117"/>
        <v>13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815.40308040697676</v>
      </c>
      <c r="AD102" s="57">
        <v>0</v>
      </c>
      <c r="AE102" s="57">
        <v>0</v>
      </c>
      <c r="AF102" s="61">
        <f t="shared" si="105"/>
        <v>13</v>
      </c>
      <c r="AG102" s="40">
        <f t="shared" si="118"/>
        <v>0</v>
      </c>
      <c r="AH102" s="40">
        <f t="shared" si="119"/>
        <v>0</v>
      </c>
      <c r="AI102" s="44">
        <f t="shared" si="120"/>
        <v>10600.240045290699</v>
      </c>
      <c r="AJ102" s="35">
        <f t="shared" si="106"/>
        <v>13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882.42619138823272</v>
      </c>
      <c r="AL102" s="57">
        <v>0</v>
      </c>
      <c r="AM102" s="57">
        <v>0</v>
      </c>
      <c r="AN102" s="61">
        <f t="shared" si="107"/>
        <v>13</v>
      </c>
      <c r="AO102" s="40">
        <f t="shared" si="121"/>
        <v>0</v>
      </c>
      <c r="AP102" s="40">
        <f t="shared" si="122"/>
        <v>0</v>
      </c>
      <c r="AQ102" s="44">
        <f t="shared" si="123"/>
        <v>11471.540488047025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14</v>
      </c>
      <c r="G103" s="35">
        <f>SUMIFS(WORKING!$AC$3:$AC$6802,WORKING!$A$3:$A$6802,Results!$D$3,WORKING!$B$3:$B$6802,Results!A103,WORKING!$C$3:$C$6802,Results!C103)/1000</f>
        <v>9759.128560000001</v>
      </c>
      <c r="H103" s="35">
        <f t="shared" si="108"/>
        <v>697.0806114285715</v>
      </c>
      <c r="I103" s="187">
        <v>20</v>
      </c>
      <c r="J103" s="212">
        <v>13940</v>
      </c>
      <c r="K103" s="217">
        <f t="shared" si="109"/>
        <v>697</v>
      </c>
      <c r="L103" s="34">
        <f t="shared" si="102"/>
        <v>20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760.92612780025058</v>
      </c>
      <c r="N103" s="57">
        <v>0</v>
      </c>
      <c r="O103" s="57">
        <v>0</v>
      </c>
      <c r="P103" s="61">
        <f t="shared" si="103"/>
        <v>20</v>
      </c>
      <c r="Q103" s="40">
        <f t="shared" si="110"/>
        <v>0</v>
      </c>
      <c r="R103" s="40">
        <f t="shared" si="111"/>
        <v>0</v>
      </c>
      <c r="S103" s="44">
        <f t="shared" si="112"/>
        <v>15218.522556005011</v>
      </c>
      <c r="T103" s="35">
        <f t="shared" si="113"/>
        <v>20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826.08306977716381</v>
      </c>
      <c r="V103" s="57">
        <v>0</v>
      </c>
      <c r="W103" s="57">
        <v>0</v>
      </c>
      <c r="X103" s="61">
        <f t="shared" si="104"/>
        <v>20</v>
      </c>
      <c r="Y103" s="40">
        <f t="shared" si="114"/>
        <v>0</v>
      </c>
      <c r="Z103" s="40">
        <f t="shared" si="115"/>
        <v>0</v>
      </c>
      <c r="AA103" s="44">
        <f t="shared" si="116"/>
        <v>16521.661395543277</v>
      </c>
      <c r="AB103" s="35">
        <f t="shared" si="117"/>
        <v>20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895.98115228600034</v>
      </c>
      <c r="AD103" s="57">
        <v>0</v>
      </c>
      <c r="AE103" s="57">
        <v>0</v>
      </c>
      <c r="AF103" s="61">
        <f t="shared" si="105"/>
        <v>20</v>
      </c>
      <c r="AG103" s="40">
        <f t="shared" si="118"/>
        <v>0</v>
      </c>
      <c r="AH103" s="40">
        <f t="shared" si="119"/>
        <v>0</v>
      </c>
      <c r="AI103" s="44">
        <f t="shared" si="120"/>
        <v>17919.623045720007</v>
      </c>
      <c r="AJ103" s="35">
        <f t="shared" si="106"/>
        <v>20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969.97544601663697</v>
      </c>
      <c r="AL103" s="57">
        <v>0</v>
      </c>
      <c r="AM103" s="57">
        <v>0</v>
      </c>
      <c r="AN103" s="61">
        <f t="shared" si="107"/>
        <v>20</v>
      </c>
      <c r="AO103" s="40">
        <f t="shared" si="121"/>
        <v>0</v>
      </c>
      <c r="AP103" s="40">
        <f t="shared" si="122"/>
        <v>0</v>
      </c>
      <c r="AQ103" s="44">
        <f t="shared" si="123"/>
        <v>19399.508920332741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18</v>
      </c>
      <c r="G104" s="35">
        <f>SUMIFS(WORKING!$AC$3:$AC$6802,WORKING!$A$3:$A$6802,Results!$D$3,WORKING!$B$3:$B$6802,Results!A104,WORKING!$C$3:$C$6802,Results!C104)/1000</f>
        <v>15890.639400000002</v>
      </c>
      <c r="H104" s="35">
        <f t="shared" si="108"/>
        <v>882.81330000000014</v>
      </c>
      <c r="I104" s="187">
        <v>15</v>
      </c>
      <c r="J104" s="212">
        <v>13245</v>
      </c>
      <c r="K104" s="217">
        <f t="shared" si="109"/>
        <v>883</v>
      </c>
      <c r="L104" s="34">
        <f t="shared" si="102"/>
        <v>15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925.43252670894537</v>
      </c>
      <c r="N104" s="57">
        <v>0</v>
      </c>
      <c r="O104" s="57">
        <v>0</v>
      </c>
      <c r="P104" s="61">
        <f t="shared" si="103"/>
        <v>15</v>
      </c>
      <c r="Q104" s="40">
        <f t="shared" si="110"/>
        <v>0</v>
      </c>
      <c r="R104" s="40">
        <f t="shared" si="111"/>
        <v>0</v>
      </c>
      <c r="S104" s="44">
        <f t="shared" si="112"/>
        <v>13881.48790063418</v>
      </c>
      <c r="T104" s="35">
        <f t="shared" si="113"/>
        <v>15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995.25498107235546</v>
      </c>
      <c r="V104" s="57">
        <v>0</v>
      </c>
      <c r="W104" s="57">
        <v>0</v>
      </c>
      <c r="X104" s="61">
        <f t="shared" si="104"/>
        <v>15</v>
      </c>
      <c r="Y104" s="40">
        <f t="shared" si="114"/>
        <v>0</v>
      </c>
      <c r="Z104" s="40">
        <f t="shared" si="115"/>
        <v>0</v>
      </c>
      <c r="AA104" s="44">
        <f t="shared" si="116"/>
        <v>14928.824716085332</v>
      </c>
      <c r="AB104" s="35">
        <f t="shared" si="117"/>
        <v>15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1069.3356719017686</v>
      </c>
      <c r="AD104" s="57">
        <v>0</v>
      </c>
      <c r="AE104" s="57">
        <v>0</v>
      </c>
      <c r="AF104" s="61">
        <f t="shared" si="105"/>
        <v>15</v>
      </c>
      <c r="AG104" s="40">
        <f t="shared" si="118"/>
        <v>0</v>
      </c>
      <c r="AH104" s="40">
        <f t="shared" si="119"/>
        <v>0</v>
      </c>
      <c r="AI104" s="44">
        <f t="shared" si="120"/>
        <v>16040.035078526529</v>
      </c>
      <c r="AJ104" s="35">
        <f t="shared" si="106"/>
        <v>15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1146.7606356867771</v>
      </c>
      <c r="AL104" s="57">
        <v>0</v>
      </c>
      <c r="AM104" s="57">
        <v>0</v>
      </c>
      <c r="AN104" s="61">
        <f t="shared" si="107"/>
        <v>15</v>
      </c>
      <c r="AO104" s="40">
        <f t="shared" si="121"/>
        <v>0</v>
      </c>
      <c r="AP104" s="40">
        <f t="shared" si="122"/>
        <v>0</v>
      </c>
      <c r="AQ104" s="44">
        <f t="shared" si="123"/>
        <v>17201.409535301656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6</v>
      </c>
      <c r="G105" s="35">
        <f>SUMIFS(WORKING!$AC$3:$AC$6802,WORKING!$A$3:$A$6802,Results!$D$3,WORKING!$B$3:$B$6802,Results!A105,WORKING!$C$3:$C$6802,Results!C105)/1000</f>
        <v>6701.6545199999991</v>
      </c>
      <c r="H105" s="35">
        <f t="shared" si="108"/>
        <v>1116.9424199999999</v>
      </c>
      <c r="I105" s="187">
        <v>6</v>
      </c>
      <c r="J105" s="212">
        <v>6528</v>
      </c>
      <c r="K105" s="217">
        <f t="shared" si="109"/>
        <v>1088</v>
      </c>
      <c r="L105" s="34">
        <f t="shared" si="102"/>
        <v>6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1140.4756333460211</v>
      </c>
      <c r="N105" s="57">
        <v>0</v>
      </c>
      <c r="O105" s="57">
        <v>0</v>
      </c>
      <c r="P105" s="61">
        <f t="shared" si="103"/>
        <v>6</v>
      </c>
      <c r="Q105" s="40">
        <f t="shared" si="110"/>
        <v>0</v>
      </c>
      <c r="R105" s="40">
        <f t="shared" si="111"/>
        <v>0</v>
      </c>
      <c r="S105" s="44">
        <f t="shared" si="112"/>
        <v>6842.8538000761273</v>
      </c>
      <c r="T105" s="35">
        <f t="shared" si="113"/>
        <v>6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1226.7291071758521</v>
      </c>
      <c r="V105" s="57">
        <v>0</v>
      </c>
      <c r="W105" s="57">
        <v>0</v>
      </c>
      <c r="X105" s="61">
        <f t="shared" si="104"/>
        <v>6</v>
      </c>
      <c r="Y105" s="40">
        <f t="shared" si="114"/>
        <v>0</v>
      </c>
      <c r="Z105" s="40">
        <f t="shared" si="115"/>
        <v>0</v>
      </c>
      <c r="AA105" s="44">
        <f t="shared" si="116"/>
        <v>7360.3746430551128</v>
      </c>
      <c r="AB105" s="35">
        <f t="shared" si="117"/>
        <v>6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1318.261061551477</v>
      </c>
      <c r="AD105" s="57">
        <v>0</v>
      </c>
      <c r="AE105" s="57">
        <v>0</v>
      </c>
      <c r="AF105" s="61">
        <f t="shared" si="105"/>
        <v>6</v>
      </c>
      <c r="AG105" s="40">
        <f t="shared" si="118"/>
        <v>0</v>
      </c>
      <c r="AH105" s="40">
        <f t="shared" si="119"/>
        <v>0</v>
      </c>
      <c r="AI105" s="44">
        <f t="shared" si="120"/>
        <v>7909.5663693088627</v>
      </c>
      <c r="AJ105" s="35">
        <f t="shared" si="106"/>
        <v>6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1413.9472431598724</v>
      </c>
      <c r="AL105" s="57">
        <v>0</v>
      </c>
      <c r="AM105" s="57">
        <v>0</v>
      </c>
      <c r="AN105" s="61">
        <f t="shared" si="107"/>
        <v>6</v>
      </c>
      <c r="AO105" s="40">
        <f t="shared" si="121"/>
        <v>0</v>
      </c>
      <c r="AP105" s="40">
        <f t="shared" si="122"/>
        <v>0</v>
      </c>
      <c r="AQ105" s="44">
        <f t="shared" si="123"/>
        <v>8483.6834589592345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1449.0013299999998</v>
      </c>
      <c r="H106" s="35">
        <f t="shared" si="108"/>
        <v>1449.0013299999998</v>
      </c>
      <c r="I106" s="187">
        <v>1</v>
      </c>
      <c r="J106" s="212">
        <v>1407</v>
      </c>
      <c r="K106" s="217">
        <f t="shared" si="109"/>
        <v>1407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1474.818403651456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1474.818403651456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1586.3117569213616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1586.3117569213616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1704.6241325838246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1704.6241325838246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1828.3012206561418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1828.3012206561418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169</v>
      </c>
      <c r="G112" s="41">
        <f>SUM(G92:G111)</f>
        <v>90690.281879999995</v>
      </c>
      <c r="H112" s="41">
        <f>IFERROR(G112/F112,0)</f>
        <v>536.62888686390534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169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91189</v>
      </c>
      <c r="K112" s="41">
        <f>IFERROR(J112/I112,"")</f>
        <v>539.57988165680479</v>
      </c>
      <c r="L112" s="41">
        <f>SUM(L92:L111)</f>
        <v>169</v>
      </c>
      <c r="M112" s="41">
        <f>IFERROR(S112/P112,0)</f>
        <v>583.03623601730862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169</v>
      </c>
      <c r="Q112" s="41">
        <f t="shared" si="124"/>
        <v>0</v>
      </c>
      <c r="R112" s="41">
        <f t="shared" si="124"/>
        <v>0</v>
      </c>
      <c r="S112" s="45">
        <f t="shared" si="124"/>
        <v>98533.123886925154</v>
      </c>
      <c r="T112" s="41">
        <f t="shared" si="124"/>
        <v>169</v>
      </c>
      <c r="U112" s="41">
        <f>IFERROR(AA112/X112,0)</f>
        <v>631.5325998430186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169</v>
      </c>
      <c r="Y112" s="41">
        <f t="shared" si="125"/>
        <v>0</v>
      </c>
      <c r="Z112" s="41">
        <f t="shared" si="125"/>
        <v>0</v>
      </c>
      <c r="AA112" s="45">
        <f t="shared" si="125"/>
        <v>106729.00937347014</v>
      </c>
      <c r="AB112" s="41">
        <f t="shared" si="125"/>
        <v>169</v>
      </c>
      <c r="AC112" s="41">
        <f>IFERROR(AI112/AF112,0)</f>
        <v>683.43226594058933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169</v>
      </c>
      <c r="AG112" s="41">
        <f t="shared" si="126"/>
        <v>0</v>
      </c>
      <c r="AH112" s="41">
        <f t="shared" si="126"/>
        <v>0</v>
      </c>
      <c r="AI112" s="45">
        <f t="shared" si="126"/>
        <v>115500.0529439596</v>
      </c>
      <c r="AJ112" s="41">
        <f t="shared" si="126"/>
        <v>169</v>
      </c>
      <c r="AK112" s="41">
        <f>IFERROR(AQ112/AN112,0)</f>
        <v>738.22143329190476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169</v>
      </c>
      <c r="AO112" s="41">
        <f t="shared" si="127"/>
        <v>0</v>
      </c>
      <c r="AP112" s="41">
        <f t="shared" si="127"/>
        <v>0</v>
      </c>
      <c r="AQ112" s="45">
        <f t="shared" si="127"/>
        <v>124759.42222633191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106463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113194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119806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128911.25600000001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7929.8761130748462</v>
      </c>
      <c r="T114" s="39"/>
      <c r="U114" s="39"/>
      <c r="V114" s="53"/>
      <c r="W114" s="53"/>
      <c r="X114" s="110"/>
      <c r="Y114" s="39"/>
      <c r="Z114" s="39"/>
      <c r="AA114" s="54">
        <f>AA113-AA112</f>
        <v>6464.9906265298632</v>
      </c>
      <c r="AB114" s="39"/>
      <c r="AC114" s="53"/>
      <c r="AD114" s="53"/>
      <c r="AE114" s="110"/>
      <c r="AF114" s="39"/>
      <c r="AG114" s="39"/>
      <c r="AH114" s="39"/>
      <c r="AI114" s="54">
        <f>AI113-AI112</f>
        <v>4305.9470560404006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4151.8337736680987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Oceans and Coasts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3</v>
      </c>
      <c r="G123" s="35">
        <f>SUMIFS(WORKING!$AC$3:$AC$6802,WORKING!$A$3:$A$6802,Results!$D$3,WORKING!$B$3:$B$6802,Results!A123,WORKING!$C$3:$C$6802,Results!C123)/1000</f>
        <v>670.32607999999993</v>
      </c>
      <c r="H123" s="35">
        <f t="shared" si="134"/>
        <v>223.44202666666664</v>
      </c>
      <c r="I123" s="187">
        <v>3</v>
      </c>
      <c r="J123" s="212">
        <v>498</v>
      </c>
      <c r="K123" s="217">
        <f t="shared" si="135"/>
        <v>166</v>
      </c>
      <c r="L123" s="34">
        <f t="shared" si="128"/>
        <v>3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180.58079333546098</v>
      </c>
      <c r="N123" s="57">
        <v>0</v>
      </c>
      <c r="O123" s="57">
        <v>0</v>
      </c>
      <c r="P123" s="61">
        <f t="shared" si="129"/>
        <v>3</v>
      </c>
      <c r="Q123" s="40">
        <f t="shared" si="136"/>
        <v>0</v>
      </c>
      <c r="R123" s="40">
        <f t="shared" si="137"/>
        <v>0</v>
      </c>
      <c r="S123" s="44">
        <f t="shared" si="138"/>
        <v>541.74238000638297</v>
      </c>
      <c r="T123" s="35">
        <f t="shared" si="139"/>
        <v>3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195.89705166556502</v>
      </c>
      <c r="V123" s="57">
        <v>0</v>
      </c>
      <c r="W123" s="57">
        <v>0</v>
      </c>
      <c r="X123" s="61">
        <f t="shared" si="130"/>
        <v>3</v>
      </c>
      <c r="Y123" s="40">
        <f t="shared" si="140"/>
        <v>0</v>
      </c>
      <c r="Z123" s="40">
        <f t="shared" si="141"/>
        <v>0</v>
      </c>
      <c r="AA123" s="44">
        <f t="shared" si="142"/>
        <v>587.6911549966951</v>
      </c>
      <c r="AB123" s="35">
        <f t="shared" si="143"/>
        <v>3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212.31387599706261</v>
      </c>
      <c r="AD123" s="57">
        <v>0</v>
      </c>
      <c r="AE123" s="57">
        <v>0</v>
      </c>
      <c r="AF123" s="61">
        <f t="shared" si="131"/>
        <v>3</v>
      </c>
      <c r="AG123" s="40">
        <f t="shared" si="144"/>
        <v>0</v>
      </c>
      <c r="AH123" s="40">
        <f t="shared" si="145"/>
        <v>0</v>
      </c>
      <c r="AI123" s="44">
        <f t="shared" si="146"/>
        <v>636.94162799118783</v>
      </c>
      <c r="AJ123" s="35">
        <f t="shared" si="132"/>
        <v>3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229.67619807084006</v>
      </c>
      <c r="AL123" s="57">
        <v>0</v>
      </c>
      <c r="AM123" s="57">
        <v>0</v>
      </c>
      <c r="AN123" s="61">
        <f t="shared" si="133"/>
        <v>3</v>
      </c>
      <c r="AO123" s="40">
        <f t="shared" si="147"/>
        <v>0</v>
      </c>
      <c r="AP123" s="40">
        <f t="shared" si="148"/>
        <v>0</v>
      </c>
      <c r="AQ123" s="44">
        <f t="shared" si="149"/>
        <v>689.02859421252015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5</v>
      </c>
      <c r="G124" s="35">
        <f>SUMIFS(WORKING!$AC$3:$AC$6802,WORKING!$A$3:$A$6802,Results!$D$3,WORKING!$B$3:$B$6802,Results!A124,WORKING!$C$3:$C$6802,Results!C124)/1000</f>
        <v>1034.5326399999999</v>
      </c>
      <c r="H124" s="35">
        <f t="shared" si="134"/>
        <v>206.90652799999998</v>
      </c>
      <c r="I124" s="187">
        <v>4</v>
      </c>
      <c r="J124" s="212">
        <v>828</v>
      </c>
      <c r="K124" s="217">
        <f t="shared" si="135"/>
        <v>207</v>
      </c>
      <c r="L124" s="34">
        <f t="shared" si="128"/>
        <v>4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225.4530023646187</v>
      </c>
      <c r="N124" s="57">
        <v>0</v>
      </c>
      <c r="O124" s="57">
        <v>0</v>
      </c>
      <c r="P124" s="61">
        <f t="shared" si="129"/>
        <v>4</v>
      </c>
      <c r="Q124" s="40">
        <f t="shared" si="136"/>
        <v>0</v>
      </c>
      <c r="R124" s="40">
        <f t="shared" si="137"/>
        <v>0</v>
      </c>
      <c r="S124" s="44">
        <f t="shared" si="138"/>
        <v>901.81200945847479</v>
      </c>
      <c r="T124" s="35">
        <f t="shared" si="139"/>
        <v>4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244.66127133314481</v>
      </c>
      <c r="V124" s="57">
        <v>0</v>
      </c>
      <c r="W124" s="57">
        <v>0</v>
      </c>
      <c r="X124" s="61">
        <f t="shared" si="130"/>
        <v>4</v>
      </c>
      <c r="Y124" s="40">
        <f t="shared" si="140"/>
        <v>0</v>
      </c>
      <c r="Z124" s="40">
        <f t="shared" si="141"/>
        <v>0</v>
      </c>
      <c r="AA124" s="44">
        <f t="shared" si="142"/>
        <v>978.64508533257924</v>
      </c>
      <c r="AB124" s="35">
        <f t="shared" si="143"/>
        <v>4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265.25792591307635</v>
      </c>
      <c r="AD124" s="57">
        <v>0</v>
      </c>
      <c r="AE124" s="57">
        <v>0</v>
      </c>
      <c r="AF124" s="61">
        <f t="shared" si="131"/>
        <v>4</v>
      </c>
      <c r="AG124" s="40">
        <f t="shared" si="144"/>
        <v>0</v>
      </c>
      <c r="AH124" s="40">
        <f t="shared" si="145"/>
        <v>0</v>
      </c>
      <c r="AI124" s="44">
        <f t="shared" si="146"/>
        <v>1061.0317036523054</v>
      </c>
      <c r="AJ124" s="35">
        <f t="shared" si="132"/>
        <v>4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287.05045721738713</v>
      </c>
      <c r="AL124" s="57">
        <v>0</v>
      </c>
      <c r="AM124" s="57">
        <v>0</v>
      </c>
      <c r="AN124" s="61">
        <f t="shared" si="133"/>
        <v>4</v>
      </c>
      <c r="AO124" s="40">
        <f t="shared" si="147"/>
        <v>0</v>
      </c>
      <c r="AP124" s="40">
        <f t="shared" si="148"/>
        <v>0</v>
      </c>
      <c r="AQ124" s="44">
        <f t="shared" si="149"/>
        <v>1148.2018288695485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44</v>
      </c>
      <c r="G125" s="35">
        <f>SUMIFS(WORKING!$AC$3:$AC$6802,WORKING!$A$3:$A$6802,Results!$D$3,WORKING!$B$3:$B$6802,Results!A125,WORKING!$C$3:$C$6802,Results!C125)/1000</f>
        <v>8169.95</v>
      </c>
      <c r="H125" s="35">
        <f t="shared" si="134"/>
        <v>185.68068181818182</v>
      </c>
      <c r="I125" s="187">
        <v>32</v>
      </c>
      <c r="J125" s="212">
        <v>7200</v>
      </c>
      <c r="K125" s="217">
        <f t="shared" si="135"/>
        <v>225</v>
      </c>
      <c r="L125" s="34">
        <f t="shared" si="128"/>
        <v>32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245.21141538925519</v>
      </c>
      <c r="N125" s="57">
        <v>0</v>
      </c>
      <c r="O125" s="57">
        <v>0</v>
      </c>
      <c r="P125" s="61">
        <f t="shared" si="129"/>
        <v>32</v>
      </c>
      <c r="Q125" s="40">
        <f t="shared" si="136"/>
        <v>0</v>
      </c>
      <c r="R125" s="40">
        <f t="shared" si="137"/>
        <v>0</v>
      </c>
      <c r="S125" s="44">
        <f t="shared" si="138"/>
        <v>7846.7652924561662</v>
      </c>
      <c r="T125" s="35">
        <f t="shared" si="139"/>
        <v>32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266.14895635301599</v>
      </c>
      <c r="V125" s="57">
        <v>0</v>
      </c>
      <c r="W125" s="57">
        <v>0</v>
      </c>
      <c r="X125" s="61">
        <f t="shared" si="130"/>
        <v>32</v>
      </c>
      <c r="Y125" s="40">
        <f t="shared" si="140"/>
        <v>0</v>
      </c>
      <c r="Z125" s="40">
        <f t="shared" si="141"/>
        <v>0</v>
      </c>
      <c r="AA125" s="44">
        <f t="shared" si="142"/>
        <v>8516.7666032965117</v>
      </c>
      <c r="AB125" s="35">
        <f t="shared" si="143"/>
        <v>32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288.60437303395935</v>
      </c>
      <c r="AD125" s="57">
        <v>0</v>
      </c>
      <c r="AE125" s="57">
        <v>0</v>
      </c>
      <c r="AF125" s="61">
        <f t="shared" si="131"/>
        <v>32</v>
      </c>
      <c r="AG125" s="40">
        <f t="shared" si="144"/>
        <v>0</v>
      </c>
      <c r="AH125" s="40">
        <f t="shared" si="145"/>
        <v>0</v>
      </c>
      <c r="AI125" s="44">
        <f t="shared" si="146"/>
        <v>9235.3399370866991</v>
      </c>
      <c r="AJ125" s="35">
        <f t="shared" si="132"/>
        <v>32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312.36906679812046</v>
      </c>
      <c r="AL125" s="57">
        <v>0</v>
      </c>
      <c r="AM125" s="57">
        <v>0</v>
      </c>
      <c r="AN125" s="61">
        <f t="shared" si="133"/>
        <v>32</v>
      </c>
      <c r="AO125" s="40">
        <f t="shared" si="147"/>
        <v>0</v>
      </c>
      <c r="AP125" s="40">
        <f t="shared" si="148"/>
        <v>0</v>
      </c>
      <c r="AQ125" s="44">
        <f t="shared" si="149"/>
        <v>9995.8101375398546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31</v>
      </c>
      <c r="G126" s="35">
        <f>SUMIFS(WORKING!$AC$3:$AC$6802,WORKING!$A$3:$A$6802,Results!$D$3,WORKING!$B$3:$B$6802,Results!A126,WORKING!$C$3:$C$6802,Results!C126)/1000</f>
        <v>9759.2455300000001</v>
      </c>
      <c r="H126" s="35">
        <f t="shared" si="134"/>
        <v>314.81437193548385</v>
      </c>
      <c r="I126" s="187">
        <v>31</v>
      </c>
      <c r="J126" s="212">
        <v>9083</v>
      </c>
      <c r="K126" s="217">
        <f t="shared" si="135"/>
        <v>293</v>
      </c>
      <c r="L126" s="34">
        <f t="shared" si="128"/>
        <v>31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319.41365395049445</v>
      </c>
      <c r="N126" s="57">
        <v>0</v>
      </c>
      <c r="O126" s="57">
        <v>0</v>
      </c>
      <c r="P126" s="61">
        <f t="shared" si="129"/>
        <v>31</v>
      </c>
      <c r="Q126" s="40">
        <f t="shared" si="136"/>
        <v>0</v>
      </c>
      <c r="R126" s="40">
        <f t="shared" si="137"/>
        <v>0</v>
      </c>
      <c r="S126" s="44">
        <f t="shared" si="138"/>
        <v>9901.823272465328</v>
      </c>
      <c r="T126" s="35">
        <f t="shared" si="139"/>
        <v>31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346.71575364567843</v>
      </c>
      <c r="V126" s="57">
        <v>0</v>
      </c>
      <c r="W126" s="57">
        <v>0</v>
      </c>
      <c r="X126" s="61">
        <f t="shared" si="130"/>
        <v>31</v>
      </c>
      <c r="Y126" s="40">
        <f t="shared" si="140"/>
        <v>0</v>
      </c>
      <c r="Z126" s="40">
        <f t="shared" si="141"/>
        <v>0</v>
      </c>
      <c r="AA126" s="44">
        <f t="shared" si="142"/>
        <v>10748.188363016032</v>
      </c>
      <c r="AB126" s="35">
        <f t="shared" si="143"/>
        <v>31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375.99992977399125</v>
      </c>
      <c r="AD126" s="57">
        <v>0</v>
      </c>
      <c r="AE126" s="57">
        <v>0</v>
      </c>
      <c r="AF126" s="61">
        <f t="shared" si="131"/>
        <v>31</v>
      </c>
      <c r="AG126" s="40">
        <f t="shared" si="144"/>
        <v>0</v>
      </c>
      <c r="AH126" s="40">
        <f t="shared" si="145"/>
        <v>0</v>
      </c>
      <c r="AI126" s="44">
        <f t="shared" si="146"/>
        <v>11655.99782299373</v>
      </c>
      <c r="AJ126" s="35">
        <f t="shared" si="132"/>
        <v>31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406.99492515838386</v>
      </c>
      <c r="AL126" s="57">
        <v>0</v>
      </c>
      <c r="AM126" s="57">
        <v>0</v>
      </c>
      <c r="AN126" s="61">
        <f t="shared" si="133"/>
        <v>31</v>
      </c>
      <c r="AO126" s="40">
        <f t="shared" si="147"/>
        <v>0</v>
      </c>
      <c r="AP126" s="40">
        <f t="shared" si="148"/>
        <v>0</v>
      </c>
      <c r="AQ126" s="44">
        <f t="shared" si="149"/>
        <v>12616.8426799099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8</v>
      </c>
      <c r="G127" s="35">
        <f>SUMIFS(WORKING!$AC$3:$AC$6802,WORKING!$A$3:$A$6802,Results!$D$3,WORKING!$B$3:$B$6802,Results!A127,WORKING!$C$3:$C$6802,Results!C127)/1000</f>
        <v>3253.7813300000003</v>
      </c>
      <c r="H127" s="35">
        <f t="shared" si="134"/>
        <v>406.72266625000003</v>
      </c>
      <c r="I127" s="187">
        <v>10</v>
      </c>
      <c r="J127" s="212">
        <v>3600</v>
      </c>
      <c r="K127" s="217">
        <f t="shared" si="135"/>
        <v>360</v>
      </c>
      <c r="L127" s="34">
        <f t="shared" si="128"/>
        <v>10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392.44940619310159</v>
      </c>
      <c r="N127" s="57">
        <v>0</v>
      </c>
      <c r="O127" s="57">
        <v>0</v>
      </c>
      <c r="P127" s="61">
        <f t="shared" si="129"/>
        <v>10</v>
      </c>
      <c r="Q127" s="40">
        <f t="shared" si="136"/>
        <v>0</v>
      </c>
      <c r="R127" s="40">
        <f t="shared" si="137"/>
        <v>0</v>
      </c>
      <c r="S127" s="44">
        <f t="shared" si="138"/>
        <v>3924.4940619310159</v>
      </c>
      <c r="T127" s="35">
        <f t="shared" si="139"/>
        <v>10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425.99465523512714</v>
      </c>
      <c r="V127" s="57">
        <v>0</v>
      </c>
      <c r="W127" s="57">
        <v>0</v>
      </c>
      <c r="X127" s="61">
        <f t="shared" si="130"/>
        <v>10</v>
      </c>
      <c r="Y127" s="40">
        <f t="shared" si="140"/>
        <v>0</v>
      </c>
      <c r="Z127" s="40">
        <f t="shared" si="141"/>
        <v>0</v>
      </c>
      <c r="AA127" s="44">
        <f t="shared" si="142"/>
        <v>4259.9465523512717</v>
      </c>
      <c r="AB127" s="35">
        <f t="shared" si="143"/>
        <v>10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461.9751774190496</v>
      </c>
      <c r="AD127" s="57">
        <v>0</v>
      </c>
      <c r="AE127" s="57">
        <v>0</v>
      </c>
      <c r="AF127" s="61">
        <f t="shared" si="131"/>
        <v>10</v>
      </c>
      <c r="AG127" s="40">
        <f t="shared" si="144"/>
        <v>0</v>
      </c>
      <c r="AH127" s="40">
        <f t="shared" si="145"/>
        <v>0</v>
      </c>
      <c r="AI127" s="44">
        <f t="shared" si="146"/>
        <v>4619.7517741904958</v>
      </c>
      <c r="AJ127" s="35">
        <f t="shared" si="132"/>
        <v>10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500.05759147797886</v>
      </c>
      <c r="AL127" s="57">
        <v>0</v>
      </c>
      <c r="AM127" s="57">
        <v>0</v>
      </c>
      <c r="AN127" s="61">
        <f t="shared" si="133"/>
        <v>10</v>
      </c>
      <c r="AO127" s="40">
        <f t="shared" si="147"/>
        <v>0</v>
      </c>
      <c r="AP127" s="40">
        <f t="shared" si="148"/>
        <v>0</v>
      </c>
      <c r="AQ127" s="44">
        <f t="shared" si="149"/>
        <v>5000.5759147797889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20</v>
      </c>
      <c r="G128" s="35">
        <f>SUMIFS(WORKING!$AC$3:$AC$6802,WORKING!$A$3:$A$6802,Results!$D$3,WORKING!$B$3:$B$6802,Results!A128,WORKING!$C$3:$C$6802,Results!C128)/1000</f>
        <v>8847.5437899999997</v>
      </c>
      <c r="H128" s="35">
        <f t="shared" si="134"/>
        <v>442.37718949999999</v>
      </c>
      <c r="I128" s="187">
        <v>22</v>
      </c>
      <c r="J128" s="212">
        <v>9262</v>
      </c>
      <c r="K128" s="217">
        <f t="shared" si="135"/>
        <v>421</v>
      </c>
      <c r="L128" s="34">
        <f t="shared" si="128"/>
        <v>22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459.20436241100668</v>
      </c>
      <c r="N128" s="57">
        <v>0</v>
      </c>
      <c r="O128" s="57">
        <v>0</v>
      </c>
      <c r="P128" s="61">
        <f t="shared" si="129"/>
        <v>22</v>
      </c>
      <c r="Q128" s="40">
        <f t="shared" si="136"/>
        <v>0</v>
      </c>
      <c r="R128" s="40">
        <f t="shared" si="137"/>
        <v>0</v>
      </c>
      <c r="S128" s="44">
        <f t="shared" si="138"/>
        <v>10102.495973042147</v>
      </c>
      <c r="T128" s="35">
        <f t="shared" si="139"/>
        <v>22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498.53592124497317</v>
      </c>
      <c r="V128" s="57">
        <v>0</v>
      </c>
      <c r="W128" s="57">
        <v>0</v>
      </c>
      <c r="X128" s="61">
        <f t="shared" si="130"/>
        <v>22</v>
      </c>
      <c r="Y128" s="40">
        <f t="shared" si="140"/>
        <v>0</v>
      </c>
      <c r="Z128" s="40">
        <f t="shared" si="141"/>
        <v>0</v>
      </c>
      <c r="AA128" s="44">
        <f t="shared" si="142"/>
        <v>10967.79026738941</v>
      </c>
      <c r="AB128" s="35">
        <f t="shared" si="143"/>
        <v>22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540.73051666654408</v>
      </c>
      <c r="AD128" s="57">
        <v>0</v>
      </c>
      <c r="AE128" s="57">
        <v>1</v>
      </c>
      <c r="AF128" s="61">
        <f t="shared" si="131"/>
        <v>21</v>
      </c>
      <c r="AG128" s="40">
        <f t="shared" si="144"/>
        <v>0</v>
      </c>
      <c r="AH128" s="40">
        <f t="shared" si="145"/>
        <v>-540.73051666654408</v>
      </c>
      <c r="AI128" s="44">
        <f t="shared" si="146"/>
        <v>11355.340849997425</v>
      </c>
      <c r="AJ128" s="35">
        <f t="shared" si="132"/>
        <v>21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585.39917926583996</v>
      </c>
      <c r="AL128" s="57">
        <v>0</v>
      </c>
      <c r="AM128" s="57">
        <v>0</v>
      </c>
      <c r="AN128" s="61">
        <f t="shared" si="133"/>
        <v>21</v>
      </c>
      <c r="AO128" s="40">
        <f t="shared" si="147"/>
        <v>0</v>
      </c>
      <c r="AP128" s="40">
        <f t="shared" si="148"/>
        <v>0</v>
      </c>
      <c r="AQ128" s="44">
        <f t="shared" si="149"/>
        <v>12293.382764582639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46</v>
      </c>
      <c r="G129" s="35">
        <f>SUMIFS(WORKING!$AC$3:$AC$6802,WORKING!$A$3:$A$6802,Results!$D$3,WORKING!$B$3:$B$6802,Results!A129,WORKING!$C$3:$C$6802,Results!C129)/1000</f>
        <v>22350.45001</v>
      </c>
      <c r="H129" s="35">
        <f t="shared" si="134"/>
        <v>485.87934804347827</v>
      </c>
      <c r="I129" s="187">
        <v>34</v>
      </c>
      <c r="J129" s="212">
        <v>16524</v>
      </c>
      <c r="K129" s="217">
        <f t="shared" si="135"/>
        <v>486</v>
      </c>
      <c r="L129" s="34">
        <f t="shared" si="128"/>
        <v>34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530.19773922398099</v>
      </c>
      <c r="N129" s="57">
        <v>0</v>
      </c>
      <c r="O129" s="57">
        <v>0</v>
      </c>
      <c r="P129" s="61">
        <f t="shared" si="129"/>
        <v>34</v>
      </c>
      <c r="Q129" s="40">
        <f t="shared" si="136"/>
        <v>0</v>
      </c>
      <c r="R129" s="40">
        <f t="shared" si="137"/>
        <v>0</v>
      </c>
      <c r="S129" s="44">
        <f t="shared" si="138"/>
        <v>18026.723133615353</v>
      </c>
      <c r="T129" s="35">
        <f t="shared" si="139"/>
        <v>34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575.63878773746444</v>
      </c>
      <c r="V129" s="57">
        <v>0</v>
      </c>
      <c r="W129" s="57">
        <v>0</v>
      </c>
      <c r="X129" s="61">
        <f t="shared" si="130"/>
        <v>34</v>
      </c>
      <c r="Y129" s="40">
        <f t="shared" si="140"/>
        <v>0</v>
      </c>
      <c r="Z129" s="40">
        <f t="shared" si="141"/>
        <v>0</v>
      </c>
      <c r="AA129" s="44">
        <f t="shared" si="142"/>
        <v>19571.718783073789</v>
      </c>
      <c r="AB129" s="35">
        <f t="shared" si="143"/>
        <v>34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624.3904141984375</v>
      </c>
      <c r="AD129" s="57">
        <v>0</v>
      </c>
      <c r="AE129" s="57">
        <v>0</v>
      </c>
      <c r="AF129" s="61">
        <f t="shared" si="131"/>
        <v>34</v>
      </c>
      <c r="AG129" s="40">
        <f t="shared" si="144"/>
        <v>0</v>
      </c>
      <c r="AH129" s="40">
        <f t="shared" si="145"/>
        <v>0</v>
      </c>
      <c r="AI129" s="44">
        <f t="shared" si="146"/>
        <v>21229.274082746873</v>
      </c>
      <c r="AJ129" s="35">
        <f t="shared" si="132"/>
        <v>34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676.00399307892974</v>
      </c>
      <c r="AL129" s="57">
        <v>0</v>
      </c>
      <c r="AM129" s="57">
        <v>0</v>
      </c>
      <c r="AN129" s="61">
        <f t="shared" si="133"/>
        <v>34</v>
      </c>
      <c r="AO129" s="40">
        <f t="shared" si="147"/>
        <v>0</v>
      </c>
      <c r="AP129" s="40">
        <f t="shared" si="148"/>
        <v>0</v>
      </c>
      <c r="AQ129" s="44">
        <f t="shared" si="149"/>
        <v>22984.135764683611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15</v>
      </c>
      <c r="G130" s="35">
        <f>SUMIFS(WORKING!$AC$3:$AC$6802,WORKING!$A$3:$A$6802,Results!$D$3,WORKING!$B$3:$B$6802,Results!A130,WORKING!$C$3:$C$6802,Results!C130)/1000</f>
        <v>10004.87068</v>
      </c>
      <c r="H130" s="35">
        <f t="shared" si="134"/>
        <v>666.99137866666672</v>
      </c>
      <c r="I130" s="187">
        <v>30</v>
      </c>
      <c r="J130" s="212">
        <v>16859</v>
      </c>
      <c r="K130" s="217">
        <f t="shared" si="135"/>
        <v>561.9666666666667</v>
      </c>
      <c r="L130" s="34">
        <f t="shared" si="128"/>
        <v>30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613.70907731629018</v>
      </c>
      <c r="N130" s="57">
        <v>0</v>
      </c>
      <c r="O130" s="57">
        <v>0</v>
      </c>
      <c r="P130" s="61">
        <f t="shared" si="129"/>
        <v>30</v>
      </c>
      <c r="Q130" s="40">
        <f t="shared" si="136"/>
        <v>0</v>
      </c>
      <c r="R130" s="40">
        <f t="shared" si="137"/>
        <v>0</v>
      </c>
      <c r="S130" s="44">
        <f t="shared" si="138"/>
        <v>18411.272319488704</v>
      </c>
      <c r="T130" s="35">
        <f t="shared" si="139"/>
        <v>30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666.47834696144957</v>
      </c>
      <c r="V130" s="57">
        <v>0</v>
      </c>
      <c r="W130" s="57">
        <v>0</v>
      </c>
      <c r="X130" s="61">
        <f t="shared" si="130"/>
        <v>30</v>
      </c>
      <c r="Y130" s="40">
        <f t="shared" si="140"/>
        <v>0</v>
      </c>
      <c r="Z130" s="40">
        <f t="shared" si="141"/>
        <v>0</v>
      </c>
      <c r="AA130" s="44">
        <f t="shared" si="142"/>
        <v>19994.350408843486</v>
      </c>
      <c r="AB130" s="35">
        <f t="shared" si="143"/>
        <v>30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723.10850428116055</v>
      </c>
      <c r="AD130" s="57">
        <v>0</v>
      </c>
      <c r="AE130" s="57">
        <v>0</v>
      </c>
      <c r="AF130" s="61">
        <f t="shared" si="131"/>
        <v>30</v>
      </c>
      <c r="AG130" s="40">
        <f t="shared" si="144"/>
        <v>0</v>
      </c>
      <c r="AH130" s="40">
        <f t="shared" si="145"/>
        <v>0</v>
      </c>
      <c r="AI130" s="44">
        <f t="shared" si="146"/>
        <v>21693.255128434816</v>
      </c>
      <c r="AJ130" s="35">
        <f t="shared" si="132"/>
        <v>30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783.08266162272525</v>
      </c>
      <c r="AL130" s="57">
        <v>0</v>
      </c>
      <c r="AM130" s="57">
        <v>0</v>
      </c>
      <c r="AN130" s="61">
        <f t="shared" si="133"/>
        <v>30</v>
      </c>
      <c r="AO130" s="40">
        <f t="shared" si="147"/>
        <v>0</v>
      </c>
      <c r="AP130" s="40">
        <f t="shared" si="148"/>
        <v>0</v>
      </c>
      <c r="AQ130" s="44">
        <f t="shared" si="149"/>
        <v>23492.479848681756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16</v>
      </c>
      <c r="G131" s="35">
        <f>SUMIFS(WORKING!$AC$3:$AC$6802,WORKING!$A$3:$A$6802,Results!$D$3,WORKING!$B$3:$B$6802,Results!A131,WORKING!$C$3:$C$6802,Results!C131)/1000</f>
        <v>10055.60967</v>
      </c>
      <c r="H131" s="35">
        <f t="shared" si="134"/>
        <v>628.47560437499999</v>
      </c>
      <c r="I131" s="187">
        <v>27</v>
      </c>
      <c r="J131" s="212">
        <v>19656</v>
      </c>
      <c r="K131" s="217">
        <f t="shared" si="135"/>
        <v>728</v>
      </c>
      <c r="L131" s="34">
        <f t="shared" si="128"/>
        <v>27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794.82264811547429</v>
      </c>
      <c r="N131" s="57">
        <v>0</v>
      </c>
      <c r="O131" s="57">
        <v>0</v>
      </c>
      <c r="P131" s="61">
        <f t="shared" si="129"/>
        <v>27</v>
      </c>
      <c r="Q131" s="40">
        <f t="shared" si="136"/>
        <v>0</v>
      </c>
      <c r="R131" s="40">
        <f t="shared" si="137"/>
        <v>0</v>
      </c>
      <c r="S131" s="44">
        <f t="shared" si="138"/>
        <v>21460.211499117806</v>
      </c>
      <c r="T131" s="35">
        <f t="shared" si="139"/>
        <v>27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862.93998796711685</v>
      </c>
      <c r="V131" s="57">
        <v>0</v>
      </c>
      <c r="W131" s="57">
        <v>0</v>
      </c>
      <c r="X131" s="61">
        <f t="shared" si="130"/>
        <v>27</v>
      </c>
      <c r="Y131" s="40">
        <f t="shared" si="140"/>
        <v>0</v>
      </c>
      <c r="Z131" s="40">
        <f t="shared" si="141"/>
        <v>0</v>
      </c>
      <c r="AA131" s="44">
        <f t="shared" si="142"/>
        <v>23299.379675112155</v>
      </c>
      <c r="AB131" s="35">
        <f t="shared" si="143"/>
        <v>27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936.01947000798089</v>
      </c>
      <c r="AD131" s="57">
        <v>0</v>
      </c>
      <c r="AE131" s="57">
        <v>0</v>
      </c>
      <c r="AF131" s="61">
        <f t="shared" si="131"/>
        <v>27</v>
      </c>
      <c r="AG131" s="40">
        <f t="shared" si="144"/>
        <v>0</v>
      </c>
      <c r="AH131" s="40">
        <f t="shared" si="145"/>
        <v>0</v>
      </c>
      <c r="AI131" s="44">
        <f t="shared" si="146"/>
        <v>25272.525690215483</v>
      </c>
      <c r="AJ131" s="35">
        <f t="shared" si="132"/>
        <v>27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1013.388297860698</v>
      </c>
      <c r="AL131" s="57">
        <v>0</v>
      </c>
      <c r="AM131" s="57">
        <v>0</v>
      </c>
      <c r="AN131" s="61">
        <f t="shared" si="133"/>
        <v>27</v>
      </c>
      <c r="AO131" s="40">
        <f t="shared" si="147"/>
        <v>0</v>
      </c>
      <c r="AP131" s="40">
        <f t="shared" si="148"/>
        <v>0</v>
      </c>
      <c r="AQ131" s="44">
        <f t="shared" si="149"/>
        <v>27361.484042238844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15</v>
      </c>
      <c r="G132" s="35">
        <f>SUMIFS(WORKING!$AC$3:$AC$6802,WORKING!$A$3:$A$6802,Results!$D$3,WORKING!$B$3:$B$6802,Results!A132,WORKING!$C$3:$C$6802,Results!C132)/1000</f>
        <v>18255.00272</v>
      </c>
      <c r="H132" s="35">
        <f t="shared" si="134"/>
        <v>1217.0001813333333</v>
      </c>
      <c r="I132" s="187">
        <v>11</v>
      </c>
      <c r="J132" s="212">
        <v>10230</v>
      </c>
      <c r="K132" s="217">
        <f t="shared" si="135"/>
        <v>930</v>
      </c>
      <c r="L132" s="34">
        <f t="shared" si="128"/>
        <v>11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974.73547315623227</v>
      </c>
      <c r="N132" s="57">
        <v>0</v>
      </c>
      <c r="O132" s="57">
        <v>0</v>
      </c>
      <c r="P132" s="61">
        <f t="shared" si="129"/>
        <v>11</v>
      </c>
      <c r="Q132" s="40">
        <f t="shared" si="136"/>
        <v>0</v>
      </c>
      <c r="R132" s="40">
        <f t="shared" si="137"/>
        <v>0</v>
      </c>
      <c r="S132" s="44">
        <f t="shared" si="138"/>
        <v>10722.090204718555</v>
      </c>
      <c r="T132" s="35">
        <f t="shared" si="139"/>
        <v>11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1048.3254714703498</v>
      </c>
      <c r="V132" s="57">
        <v>0</v>
      </c>
      <c r="W132" s="57">
        <v>0</v>
      </c>
      <c r="X132" s="61">
        <f t="shared" si="130"/>
        <v>11</v>
      </c>
      <c r="Y132" s="40">
        <f t="shared" si="140"/>
        <v>0</v>
      </c>
      <c r="Z132" s="40">
        <f t="shared" si="141"/>
        <v>0</v>
      </c>
      <c r="AA132" s="44">
        <f t="shared" si="142"/>
        <v>11531.580186173847</v>
      </c>
      <c r="AB132" s="35">
        <f t="shared" si="143"/>
        <v>11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1126.4076714634787</v>
      </c>
      <c r="AD132" s="57">
        <v>0</v>
      </c>
      <c r="AE132" s="57">
        <v>0</v>
      </c>
      <c r="AF132" s="61">
        <f t="shared" si="131"/>
        <v>11</v>
      </c>
      <c r="AG132" s="40">
        <f t="shared" si="144"/>
        <v>0</v>
      </c>
      <c r="AH132" s="40">
        <f t="shared" si="145"/>
        <v>0</v>
      </c>
      <c r="AI132" s="44">
        <f t="shared" si="146"/>
        <v>12390.484386098266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1208.019899180357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13288.218890983928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5</v>
      </c>
      <c r="G133" s="35">
        <f>SUMIFS(WORKING!$AC$3:$AC$6802,WORKING!$A$3:$A$6802,Results!$D$3,WORKING!$B$3:$B$6802,Results!A133,WORKING!$C$3:$C$6802,Results!C133)/1000</f>
        <v>4725.6923399999996</v>
      </c>
      <c r="H133" s="35">
        <f t="shared" si="134"/>
        <v>945.13846799999988</v>
      </c>
      <c r="I133" s="187">
        <v>3</v>
      </c>
      <c r="J133" s="212">
        <v>3342</v>
      </c>
      <c r="K133" s="217">
        <f t="shared" si="135"/>
        <v>1114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1167.1297318476268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3501.3891955428803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1254.7540843549543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3764.2622530648632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1347.6843909430265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4043.0531728290798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1444.7636484000263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4334.2909452000786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2189.4248900000002</v>
      </c>
      <c r="H134" s="35">
        <f t="shared" si="134"/>
        <v>2189.4248900000002</v>
      </c>
      <c r="I134" s="187">
        <v>2</v>
      </c>
      <c r="J134" s="212">
        <v>2836</v>
      </c>
      <c r="K134" s="217">
        <f t="shared" si="135"/>
        <v>1418</v>
      </c>
      <c r="L134" s="34">
        <f t="shared" si="128"/>
        <v>2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1486.2714734829838</v>
      </c>
      <c r="N134" s="57">
        <v>0</v>
      </c>
      <c r="O134" s="57">
        <v>0</v>
      </c>
      <c r="P134" s="61">
        <f t="shared" si="129"/>
        <v>2</v>
      </c>
      <c r="Q134" s="40">
        <f t="shared" si="136"/>
        <v>0</v>
      </c>
      <c r="R134" s="40">
        <f t="shared" si="137"/>
        <v>0</v>
      </c>
      <c r="S134" s="44">
        <f t="shared" si="138"/>
        <v>2972.5429469659675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1598.5476909808731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3197.0953819617462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1717.6835146793849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3435.3670293587697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1842.2125000616725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3684.4250001233449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209</v>
      </c>
      <c r="G140" s="41">
        <f>SUM(G120:G139)</f>
        <v>99316.429680000001</v>
      </c>
      <c r="H140" s="41">
        <f>IFERROR(G140/F140,0)</f>
        <v>475.19822813397127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209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99918</v>
      </c>
      <c r="K140" s="41">
        <f>IFERROR(J140/I140,"")</f>
        <v>478.07655502392345</v>
      </c>
      <c r="L140" s="41">
        <f>SUM(L120:L139)</f>
        <v>209</v>
      </c>
      <c r="M140" s="41">
        <f>IFERROR(S140/P140,0)</f>
        <v>518.24575257803247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209</v>
      </c>
      <c r="Q140" s="41">
        <f t="shared" si="151"/>
        <v>0</v>
      </c>
      <c r="R140" s="41">
        <f t="shared" si="151"/>
        <v>0</v>
      </c>
      <c r="S140" s="45">
        <f t="shared" si="151"/>
        <v>108313.36228880878</v>
      </c>
      <c r="T140" s="41">
        <f t="shared" si="151"/>
        <v>209</v>
      </c>
      <c r="U140" s="41">
        <f>IFERROR(AA140/X140,0)</f>
        <v>561.8058120316382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209</v>
      </c>
      <c r="Y140" s="41">
        <f t="shared" si="152"/>
        <v>0</v>
      </c>
      <c r="Z140" s="41">
        <f t="shared" si="152"/>
        <v>0</v>
      </c>
      <c r="AA140" s="45">
        <f t="shared" si="152"/>
        <v>117417.41471461239</v>
      </c>
      <c r="AB140" s="41">
        <f t="shared" si="152"/>
        <v>209</v>
      </c>
      <c r="AC140" s="41">
        <f>IFERROR(AI140/AF140,0)</f>
        <v>608.79020771920727</v>
      </c>
      <c r="AD140" s="41">
        <f t="shared" ref="AD140:AJ140" si="153">SUM(AD120:AD139)</f>
        <v>0</v>
      </c>
      <c r="AE140" s="41">
        <f t="shared" si="153"/>
        <v>1</v>
      </c>
      <c r="AF140" s="41">
        <f t="shared" si="153"/>
        <v>208</v>
      </c>
      <c r="AG140" s="41">
        <f t="shared" si="153"/>
        <v>0</v>
      </c>
      <c r="AH140" s="41">
        <f t="shared" si="153"/>
        <v>-540.73051666654408</v>
      </c>
      <c r="AI140" s="45">
        <f t="shared" si="153"/>
        <v>126628.36320559512</v>
      </c>
      <c r="AJ140" s="41">
        <f t="shared" si="153"/>
        <v>208</v>
      </c>
      <c r="AK140" s="41">
        <f>IFERROR(AQ140/AN140,0)</f>
        <v>658.11959813368173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208</v>
      </c>
      <c r="AO140" s="41">
        <f t="shared" si="154"/>
        <v>0</v>
      </c>
      <c r="AP140" s="41">
        <f t="shared" si="154"/>
        <v>0</v>
      </c>
      <c r="AQ140" s="45">
        <f t="shared" si="154"/>
        <v>136888.8764118058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110662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106831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110617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119023.89200000001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2348.6377111912152</v>
      </c>
      <c r="T142" s="39"/>
      <c r="U142" s="39"/>
      <c r="V142" s="53"/>
      <c r="W142" s="53"/>
      <c r="X142" s="110"/>
      <c r="Y142" s="39"/>
      <c r="Z142" s="39"/>
      <c r="AA142" s="54">
        <f>AA141-AA140</f>
        <v>-10586.414714612387</v>
      </c>
      <c r="AB142" s="39"/>
      <c r="AC142" s="53"/>
      <c r="AD142" s="53"/>
      <c r="AE142" s="110"/>
      <c r="AF142" s="39"/>
      <c r="AG142" s="39"/>
      <c r="AH142" s="39"/>
      <c r="AI142" s="54">
        <f>AI141-AI140</f>
        <v>-16011.363205595117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-17864.984411805795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Climate Change and Air Quality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</v>
      </c>
      <c r="G151" s="35">
        <f>SUMIFS(WORKING!$AC$3:$AC$6802,WORKING!$A$3:$A$6802,Results!$D$3,WORKING!$B$3:$B$6802,Results!A151,WORKING!$C$3:$C$6802,Results!C151)/1000</f>
        <v>176.66853</v>
      </c>
      <c r="H151" s="35">
        <f t="shared" si="161"/>
        <v>176.66853</v>
      </c>
      <c r="I151" s="187">
        <v>1</v>
      </c>
      <c r="J151" s="212">
        <v>177</v>
      </c>
      <c r="K151" s="217">
        <f t="shared" si="162"/>
        <v>177</v>
      </c>
      <c r="L151" s="34">
        <f t="shared" si="155"/>
        <v>1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192.01494189431398</v>
      </c>
      <c r="N151" s="57">
        <v>0</v>
      </c>
      <c r="O151" s="57">
        <v>0</v>
      </c>
      <c r="P151" s="61">
        <f t="shared" si="156"/>
        <v>1</v>
      </c>
      <c r="Q151" s="40">
        <f t="shared" si="163"/>
        <v>0</v>
      </c>
      <c r="R151" s="40">
        <f t="shared" si="164"/>
        <v>0</v>
      </c>
      <c r="S151" s="44">
        <f t="shared" si="165"/>
        <v>192.01494189431398</v>
      </c>
      <c r="T151" s="35">
        <f t="shared" si="166"/>
        <v>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208.13648040951657</v>
      </c>
      <c r="V151" s="57">
        <v>0</v>
      </c>
      <c r="W151" s="57">
        <v>0</v>
      </c>
      <c r="X151" s="61">
        <f t="shared" si="157"/>
        <v>1</v>
      </c>
      <c r="Y151" s="40">
        <f t="shared" si="167"/>
        <v>0</v>
      </c>
      <c r="Z151" s="40">
        <f t="shared" si="168"/>
        <v>0</v>
      </c>
      <c r="AA151" s="44">
        <f t="shared" si="169"/>
        <v>208.13648040951657</v>
      </c>
      <c r="AB151" s="35">
        <f t="shared" si="170"/>
        <v>1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225.40086421765335</v>
      </c>
      <c r="AD151" s="57">
        <v>0</v>
      </c>
      <c r="AE151" s="57">
        <v>0</v>
      </c>
      <c r="AF151" s="61">
        <f t="shared" si="158"/>
        <v>1</v>
      </c>
      <c r="AG151" s="40">
        <f t="shared" si="171"/>
        <v>0</v>
      </c>
      <c r="AH151" s="40">
        <f t="shared" si="172"/>
        <v>0</v>
      </c>
      <c r="AI151" s="44">
        <f t="shared" si="173"/>
        <v>225.40086421765335</v>
      </c>
      <c r="AJ151" s="35">
        <f t="shared" si="159"/>
        <v>1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243.64089527822637</v>
      </c>
      <c r="AL151" s="57">
        <v>0</v>
      </c>
      <c r="AM151" s="57">
        <v>0</v>
      </c>
      <c r="AN151" s="61">
        <f t="shared" si="160"/>
        <v>1</v>
      </c>
      <c r="AO151" s="40">
        <f t="shared" si="174"/>
        <v>0</v>
      </c>
      <c r="AP151" s="40">
        <f t="shared" si="175"/>
        <v>0</v>
      </c>
      <c r="AQ151" s="44">
        <f t="shared" si="176"/>
        <v>243.64089527822637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6.5273300000000001</v>
      </c>
      <c r="H152" s="35">
        <f t="shared" si="161"/>
        <v>0</v>
      </c>
      <c r="I152" s="187">
        <v>0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7</v>
      </c>
      <c r="G153" s="35">
        <f>SUMIFS(WORKING!$AC$3:$AC$6802,WORKING!$A$3:$A$6802,Results!$D$3,WORKING!$B$3:$B$6802,Results!A153,WORKING!$C$3:$C$6802,Results!C153)/1000</f>
        <v>1293.38546</v>
      </c>
      <c r="H153" s="35">
        <f t="shared" si="161"/>
        <v>184.76935142857141</v>
      </c>
      <c r="I153" s="187">
        <v>6</v>
      </c>
      <c r="J153" s="212">
        <v>1338</v>
      </c>
      <c r="K153" s="217">
        <f t="shared" si="162"/>
        <v>223</v>
      </c>
      <c r="L153" s="34">
        <f t="shared" si="155"/>
        <v>6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242.87365760321487</v>
      </c>
      <c r="N153" s="57">
        <v>0</v>
      </c>
      <c r="O153" s="57">
        <v>0</v>
      </c>
      <c r="P153" s="61">
        <f t="shared" si="156"/>
        <v>6</v>
      </c>
      <c r="Q153" s="40">
        <f t="shared" si="163"/>
        <v>0</v>
      </c>
      <c r="R153" s="40">
        <f t="shared" si="164"/>
        <v>0</v>
      </c>
      <c r="S153" s="44">
        <f t="shared" si="165"/>
        <v>1457.2419456192893</v>
      </c>
      <c r="T153" s="35">
        <f t="shared" si="166"/>
        <v>6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263.56313144482988</v>
      </c>
      <c r="V153" s="57">
        <v>0</v>
      </c>
      <c r="W153" s="57">
        <v>3</v>
      </c>
      <c r="X153" s="61">
        <f t="shared" si="157"/>
        <v>3</v>
      </c>
      <c r="Y153" s="40">
        <f t="shared" si="167"/>
        <v>0</v>
      </c>
      <c r="Z153" s="40">
        <f t="shared" si="168"/>
        <v>-790.68939433448963</v>
      </c>
      <c r="AA153" s="44">
        <f t="shared" si="169"/>
        <v>790.68939433448963</v>
      </c>
      <c r="AB153" s="35">
        <f t="shared" si="170"/>
        <v>3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285.74782456199688</v>
      </c>
      <c r="AD153" s="57">
        <v>0</v>
      </c>
      <c r="AE153" s="57">
        <v>0</v>
      </c>
      <c r="AF153" s="61">
        <f t="shared" si="158"/>
        <v>3</v>
      </c>
      <c r="AG153" s="40">
        <f t="shared" si="171"/>
        <v>0</v>
      </c>
      <c r="AH153" s="40">
        <f t="shared" si="172"/>
        <v>0</v>
      </c>
      <c r="AI153" s="44">
        <f t="shared" si="173"/>
        <v>857.24347368599069</v>
      </c>
      <c r="AJ153" s="35">
        <f t="shared" si="159"/>
        <v>3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309.22038949933443</v>
      </c>
      <c r="AL153" s="57">
        <v>0</v>
      </c>
      <c r="AM153" s="57">
        <v>0</v>
      </c>
      <c r="AN153" s="61">
        <f t="shared" si="160"/>
        <v>3</v>
      </c>
      <c r="AO153" s="40">
        <f t="shared" si="174"/>
        <v>0</v>
      </c>
      <c r="AP153" s="40">
        <f t="shared" si="175"/>
        <v>0</v>
      </c>
      <c r="AQ153" s="44">
        <f t="shared" si="176"/>
        <v>927.66116849800324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8</v>
      </c>
      <c r="G154" s="35">
        <f>SUMIFS(WORKING!$AC$3:$AC$6802,WORKING!$A$3:$A$6802,Results!$D$3,WORKING!$B$3:$B$6802,Results!A154,WORKING!$C$3:$C$6802,Results!C154)/1000</f>
        <v>2775.6047900000003</v>
      </c>
      <c r="H154" s="35">
        <f t="shared" si="161"/>
        <v>346.95059875000004</v>
      </c>
      <c r="I154" s="187">
        <v>10</v>
      </c>
      <c r="J154" s="212">
        <v>2840</v>
      </c>
      <c r="K154" s="217">
        <f t="shared" si="162"/>
        <v>284</v>
      </c>
      <c r="L154" s="34">
        <f t="shared" si="155"/>
        <v>10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309.03388689318126</v>
      </c>
      <c r="N154" s="57">
        <v>0</v>
      </c>
      <c r="O154" s="57">
        <v>0</v>
      </c>
      <c r="P154" s="61">
        <f t="shared" si="156"/>
        <v>10</v>
      </c>
      <c r="Q154" s="40">
        <f t="shared" si="163"/>
        <v>0</v>
      </c>
      <c r="R154" s="40">
        <f t="shared" si="164"/>
        <v>0</v>
      </c>
      <c r="S154" s="44">
        <f t="shared" si="165"/>
        <v>3090.3388689318126</v>
      </c>
      <c r="T154" s="35">
        <f t="shared" si="166"/>
        <v>10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335.27230187304895</v>
      </c>
      <c r="V154" s="57">
        <v>0</v>
      </c>
      <c r="W154" s="57">
        <v>0</v>
      </c>
      <c r="X154" s="61">
        <f t="shared" si="157"/>
        <v>10</v>
      </c>
      <c r="Y154" s="40">
        <f t="shared" si="167"/>
        <v>0</v>
      </c>
      <c r="Z154" s="40">
        <f t="shared" si="168"/>
        <v>0</v>
      </c>
      <c r="AA154" s="44">
        <f t="shared" si="169"/>
        <v>3352.7230187304895</v>
      </c>
      <c r="AB154" s="35">
        <f t="shared" si="170"/>
        <v>10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363.39872912679152</v>
      </c>
      <c r="AD154" s="57">
        <v>0</v>
      </c>
      <c r="AE154" s="57">
        <v>0</v>
      </c>
      <c r="AF154" s="61">
        <f t="shared" si="158"/>
        <v>10</v>
      </c>
      <c r="AG154" s="40">
        <f t="shared" si="171"/>
        <v>0</v>
      </c>
      <c r="AH154" s="40">
        <f t="shared" si="172"/>
        <v>0</v>
      </c>
      <c r="AI154" s="44">
        <f t="shared" si="173"/>
        <v>3633.9872912679152</v>
      </c>
      <c r="AJ154" s="35">
        <f t="shared" si="159"/>
        <v>10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393.14821191648639</v>
      </c>
      <c r="AL154" s="57">
        <v>0</v>
      </c>
      <c r="AM154" s="57">
        <v>0</v>
      </c>
      <c r="AN154" s="61">
        <f t="shared" si="160"/>
        <v>10</v>
      </c>
      <c r="AO154" s="40">
        <f t="shared" si="174"/>
        <v>0</v>
      </c>
      <c r="AP154" s="40">
        <f t="shared" si="175"/>
        <v>0</v>
      </c>
      <c r="AQ154" s="44">
        <f t="shared" si="176"/>
        <v>3931.4821191648639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684.92419000000007</v>
      </c>
      <c r="H155" s="35">
        <f t="shared" si="161"/>
        <v>342.46209500000003</v>
      </c>
      <c r="I155" s="187">
        <v>2</v>
      </c>
      <c r="J155" s="212">
        <v>676</v>
      </c>
      <c r="K155" s="217">
        <f t="shared" si="162"/>
        <v>338</v>
      </c>
      <c r="L155" s="34">
        <f t="shared" si="155"/>
        <v>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368.50434297974937</v>
      </c>
      <c r="N155" s="57">
        <v>0</v>
      </c>
      <c r="O155" s="57">
        <v>0</v>
      </c>
      <c r="P155" s="61">
        <f t="shared" si="156"/>
        <v>2</v>
      </c>
      <c r="Q155" s="40">
        <f t="shared" si="163"/>
        <v>0</v>
      </c>
      <c r="R155" s="40">
        <f t="shared" si="164"/>
        <v>0</v>
      </c>
      <c r="S155" s="44">
        <f t="shared" si="165"/>
        <v>737.00868595949873</v>
      </c>
      <c r="T155" s="35">
        <f t="shared" si="166"/>
        <v>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400.01481018988136</v>
      </c>
      <c r="V155" s="57">
        <v>0</v>
      </c>
      <c r="W155" s="57">
        <v>0</v>
      </c>
      <c r="X155" s="61">
        <f t="shared" si="157"/>
        <v>2</v>
      </c>
      <c r="Y155" s="40">
        <f t="shared" si="167"/>
        <v>0</v>
      </c>
      <c r="Z155" s="40">
        <f t="shared" si="168"/>
        <v>0</v>
      </c>
      <c r="AA155" s="44">
        <f t="shared" si="169"/>
        <v>800.02962037976272</v>
      </c>
      <c r="AB155" s="35">
        <f t="shared" si="170"/>
        <v>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433.81396641791798</v>
      </c>
      <c r="AD155" s="57">
        <v>0</v>
      </c>
      <c r="AE155" s="57">
        <v>0</v>
      </c>
      <c r="AF155" s="61">
        <f t="shared" si="158"/>
        <v>2</v>
      </c>
      <c r="AG155" s="40">
        <f t="shared" si="171"/>
        <v>0</v>
      </c>
      <c r="AH155" s="40">
        <f t="shared" si="172"/>
        <v>0</v>
      </c>
      <c r="AI155" s="44">
        <f t="shared" si="173"/>
        <v>867.62793283583596</v>
      </c>
      <c r="AJ155" s="35">
        <f t="shared" si="159"/>
        <v>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469.58892409376119</v>
      </c>
      <c r="AL155" s="57">
        <v>0</v>
      </c>
      <c r="AM155" s="57">
        <v>0</v>
      </c>
      <c r="AN155" s="61">
        <f t="shared" si="160"/>
        <v>2</v>
      </c>
      <c r="AO155" s="40">
        <f t="shared" si="174"/>
        <v>0</v>
      </c>
      <c r="AP155" s="40">
        <f t="shared" si="175"/>
        <v>0</v>
      </c>
      <c r="AQ155" s="44">
        <f t="shared" si="176"/>
        <v>939.17784818752239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6</v>
      </c>
      <c r="G156" s="35">
        <f>SUMIFS(WORKING!$AC$3:$AC$6802,WORKING!$A$3:$A$6802,Results!$D$3,WORKING!$B$3:$B$6802,Results!A156,WORKING!$C$3:$C$6802,Results!C156)/1000</f>
        <v>1859.7256300000001</v>
      </c>
      <c r="H156" s="35">
        <f t="shared" si="161"/>
        <v>309.95427166666667</v>
      </c>
      <c r="I156" s="187">
        <v>4</v>
      </c>
      <c r="J156" s="212">
        <v>1752</v>
      </c>
      <c r="K156" s="217">
        <f t="shared" si="162"/>
        <v>438</v>
      </c>
      <c r="L156" s="34">
        <f t="shared" si="155"/>
        <v>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477.2731564140409</v>
      </c>
      <c r="N156" s="57">
        <v>0</v>
      </c>
      <c r="O156" s="57">
        <v>0</v>
      </c>
      <c r="P156" s="61">
        <f t="shared" si="156"/>
        <v>4</v>
      </c>
      <c r="Q156" s="40">
        <f t="shared" si="163"/>
        <v>0</v>
      </c>
      <c r="R156" s="40">
        <f t="shared" si="164"/>
        <v>0</v>
      </c>
      <c r="S156" s="44">
        <f t="shared" si="165"/>
        <v>1909.0926256561636</v>
      </c>
      <c r="T156" s="35">
        <f t="shared" si="166"/>
        <v>4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518.00145091830052</v>
      </c>
      <c r="V156" s="57">
        <v>0</v>
      </c>
      <c r="W156" s="57">
        <v>0</v>
      </c>
      <c r="X156" s="61">
        <f t="shared" si="157"/>
        <v>4</v>
      </c>
      <c r="Y156" s="40">
        <f t="shared" si="167"/>
        <v>0</v>
      </c>
      <c r="Z156" s="40">
        <f t="shared" si="168"/>
        <v>0</v>
      </c>
      <c r="AA156" s="44">
        <f t="shared" si="169"/>
        <v>2072.0058036732021</v>
      </c>
      <c r="AB156" s="35">
        <f t="shared" si="170"/>
        <v>4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561.68018660633265</v>
      </c>
      <c r="AD156" s="57">
        <v>0</v>
      </c>
      <c r="AE156" s="57">
        <v>0</v>
      </c>
      <c r="AF156" s="61">
        <f t="shared" si="158"/>
        <v>4</v>
      </c>
      <c r="AG156" s="40">
        <f t="shared" si="171"/>
        <v>0</v>
      </c>
      <c r="AH156" s="40">
        <f t="shared" si="172"/>
        <v>0</v>
      </c>
      <c r="AI156" s="44">
        <f t="shared" si="173"/>
        <v>2246.7207464253306</v>
      </c>
      <c r="AJ156" s="35">
        <f t="shared" si="159"/>
        <v>4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607.9031785669182</v>
      </c>
      <c r="AL156" s="57">
        <v>0</v>
      </c>
      <c r="AM156" s="57">
        <v>0</v>
      </c>
      <c r="AN156" s="61">
        <f t="shared" si="160"/>
        <v>4</v>
      </c>
      <c r="AO156" s="40">
        <f t="shared" si="174"/>
        <v>0</v>
      </c>
      <c r="AP156" s="40">
        <f t="shared" si="175"/>
        <v>0</v>
      </c>
      <c r="AQ156" s="44">
        <f t="shared" si="176"/>
        <v>2431.6127142676728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23</v>
      </c>
      <c r="G157" s="35">
        <f>SUMIFS(WORKING!$AC$3:$AC$6802,WORKING!$A$3:$A$6802,Results!$D$3,WORKING!$B$3:$B$6802,Results!A157,WORKING!$C$3:$C$6802,Results!C157)/1000</f>
        <v>9987.7415899999996</v>
      </c>
      <c r="H157" s="35">
        <f t="shared" si="161"/>
        <v>434.24963434782609</v>
      </c>
      <c r="I157" s="187">
        <v>23</v>
      </c>
      <c r="J157" s="212">
        <v>11371</v>
      </c>
      <c r="K157" s="217">
        <f t="shared" si="162"/>
        <v>494.39130434782606</v>
      </c>
      <c r="L157" s="34">
        <f t="shared" si="155"/>
        <v>23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539.11880347871192</v>
      </c>
      <c r="N157" s="57">
        <v>0</v>
      </c>
      <c r="O157" s="57">
        <v>0</v>
      </c>
      <c r="P157" s="61">
        <f t="shared" si="156"/>
        <v>23</v>
      </c>
      <c r="Q157" s="40">
        <f t="shared" si="163"/>
        <v>0</v>
      </c>
      <c r="R157" s="40">
        <f t="shared" si="164"/>
        <v>0</v>
      </c>
      <c r="S157" s="44">
        <f t="shared" si="165"/>
        <v>12399.732480010374</v>
      </c>
      <c r="T157" s="35">
        <f t="shared" si="166"/>
        <v>23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585.25309340290119</v>
      </c>
      <c r="V157" s="57">
        <v>0</v>
      </c>
      <c r="W157" s="57">
        <v>0</v>
      </c>
      <c r="X157" s="61">
        <f t="shared" si="157"/>
        <v>23</v>
      </c>
      <c r="Y157" s="40">
        <f t="shared" si="167"/>
        <v>0</v>
      </c>
      <c r="Z157" s="40">
        <f t="shared" si="168"/>
        <v>0</v>
      </c>
      <c r="AA157" s="44">
        <f t="shared" si="169"/>
        <v>13460.821148266727</v>
      </c>
      <c r="AB157" s="35">
        <f t="shared" si="170"/>
        <v>23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634.74155152128515</v>
      </c>
      <c r="AD157" s="57">
        <v>0</v>
      </c>
      <c r="AE157" s="57">
        <v>0</v>
      </c>
      <c r="AF157" s="61">
        <f t="shared" si="158"/>
        <v>23</v>
      </c>
      <c r="AG157" s="40">
        <f t="shared" si="171"/>
        <v>0</v>
      </c>
      <c r="AH157" s="40">
        <f t="shared" si="172"/>
        <v>0</v>
      </c>
      <c r="AI157" s="44">
        <f t="shared" si="173"/>
        <v>14599.055684989558</v>
      </c>
      <c r="AJ157" s="35">
        <f t="shared" si="159"/>
        <v>23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687.12689127964677</v>
      </c>
      <c r="AL157" s="57">
        <v>0</v>
      </c>
      <c r="AM157" s="57">
        <v>0</v>
      </c>
      <c r="AN157" s="61">
        <f t="shared" si="160"/>
        <v>23</v>
      </c>
      <c r="AO157" s="40">
        <f t="shared" si="174"/>
        <v>0</v>
      </c>
      <c r="AP157" s="40">
        <f t="shared" si="175"/>
        <v>0</v>
      </c>
      <c r="AQ157" s="44">
        <f t="shared" si="176"/>
        <v>15803.918499431875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8</v>
      </c>
      <c r="G158" s="35">
        <f>SUMIFS(WORKING!$AC$3:$AC$6802,WORKING!$A$3:$A$6802,Results!$D$3,WORKING!$B$3:$B$6802,Results!A158,WORKING!$C$3:$C$6802,Results!C158)/1000</f>
        <v>5460.0045600000003</v>
      </c>
      <c r="H158" s="35">
        <f t="shared" si="161"/>
        <v>682.50057000000004</v>
      </c>
      <c r="I158" s="187">
        <v>8</v>
      </c>
      <c r="J158" s="212">
        <v>5200</v>
      </c>
      <c r="K158" s="217">
        <f t="shared" si="162"/>
        <v>650</v>
      </c>
      <c r="L158" s="34">
        <f t="shared" si="155"/>
        <v>8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709.46252338120587</v>
      </c>
      <c r="N158" s="57">
        <v>0</v>
      </c>
      <c r="O158" s="57">
        <v>0</v>
      </c>
      <c r="P158" s="61">
        <f t="shared" si="156"/>
        <v>8</v>
      </c>
      <c r="Q158" s="40">
        <f t="shared" si="163"/>
        <v>0</v>
      </c>
      <c r="R158" s="40">
        <f t="shared" si="164"/>
        <v>0</v>
      </c>
      <c r="S158" s="44">
        <f t="shared" si="165"/>
        <v>5675.700187049647</v>
      </c>
      <c r="T158" s="35">
        <f t="shared" si="166"/>
        <v>8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770.04670736087792</v>
      </c>
      <c r="V158" s="57">
        <v>0</v>
      </c>
      <c r="W158" s="57">
        <v>0</v>
      </c>
      <c r="X158" s="61">
        <f t="shared" si="157"/>
        <v>8</v>
      </c>
      <c r="Y158" s="40">
        <f t="shared" si="167"/>
        <v>0</v>
      </c>
      <c r="Z158" s="40">
        <f t="shared" si="168"/>
        <v>0</v>
      </c>
      <c r="AA158" s="44">
        <f t="shared" si="169"/>
        <v>6160.3736588870233</v>
      </c>
      <c r="AB158" s="35">
        <f t="shared" si="170"/>
        <v>8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835.02332063812742</v>
      </c>
      <c r="AD158" s="57">
        <v>0</v>
      </c>
      <c r="AE158" s="57">
        <v>0</v>
      </c>
      <c r="AF158" s="61">
        <f t="shared" si="158"/>
        <v>8</v>
      </c>
      <c r="AG158" s="40">
        <f t="shared" si="171"/>
        <v>0</v>
      </c>
      <c r="AH158" s="40">
        <f t="shared" si="172"/>
        <v>0</v>
      </c>
      <c r="AI158" s="44">
        <f t="shared" si="173"/>
        <v>6680.1865651050193</v>
      </c>
      <c r="AJ158" s="35">
        <f t="shared" si="159"/>
        <v>8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903.78859241578334</v>
      </c>
      <c r="AL158" s="57">
        <v>0</v>
      </c>
      <c r="AM158" s="57">
        <v>0</v>
      </c>
      <c r="AN158" s="61">
        <f t="shared" si="160"/>
        <v>8</v>
      </c>
      <c r="AO158" s="40">
        <f t="shared" si="174"/>
        <v>0</v>
      </c>
      <c r="AP158" s="40">
        <f t="shared" si="175"/>
        <v>0</v>
      </c>
      <c r="AQ158" s="44">
        <f t="shared" si="176"/>
        <v>7230.3087393262667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9</v>
      </c>
      <c r="G159" s="35">
        <f>SUMIFS(WORKING!$AC$3:$AC$6802,WORKING!$A$3:$A$6802,Results!$D$3,WORKING!$B$3:$B$6802,Results!A159,WORKING!$C$3:$C$6802,Results!C159)/1000</f>
        <v>6128.8193500000016</v>
      </c>
      <c r="H159" s="35">
        <f t="shared" si="161"/>
        <v>680.9799277777779</v>
      </c>
      <c r="I159" s="187">
        <v>9</v>
      </c>
      <c r="J159" s="212">
        <v>6723</v>
      </c>
      <c r="K159" s="217">
        <f t="shared" si="162"/>
        <v>747</v>
      </c>
      <c r="L159" s="34">
        <f t="shared" si="155"/>
        <v>9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815.23756197212163</v>
      </c>
      <c r="N159" s="57">
        <v>0</v>
      </c>
      <c r="O159" s="57">
        <v>0</v>
      </c>
      <c r="P159" s="61">
        <f t="shared" si="156"/>
        <v>9</v>
      </c>
      <c r="Q159" s="40">
        <f t="shared" si="163"/>
        <v>0</v>
      </c>
      <c r="R159" s="40">
        <f t="shared" si="164"/>
        <v>0</v>
      </c>
      <c r="S159" s="44">
        <f t="shared" si="165"/>
        <v>7337.1380577490945</v>
      </c>
      <c r="T159" s="35">
        <f t="shared" si="166"/>
        <v>9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884.74734405001198</v>
      </c>
      <c r="V159" s="57">
        <v>0</v>
      </c>
      <c r="W159" s="57">
        <v>0</v>
      </c>
      <c r="X159" s="61">
        <f t="shared" si="157"/>
        <v>9</v>
      </c>
      <c r="Y159" s="40">
        <f t="shared" si="167"/>
        <v>0</v>
      </c>
      <c r="Z159" s="40">
        <f t="shared" si="168"/>
        <v>0</v>
      </c>
      <c r="AA159" s="44">
        <f t="shared" si="169"/>
        <v>7962.7260964501074</v>
      </c>
      <c r="AB159" s="35">
        <f t="shared" si="170"/>
        <v>9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959.28638618618436</v>
      </c>
      <c r="AD159" s="57">
        <v>0</v>
      </c>
      <c r="AE159" s="57">
        <v>0</v>
      </c>
      <c r="AF159" s="61">
        <f t="shared" si="158"/>
        <v>9</v>
      </c>
      <c r="AG159" s="40">
        <f t="shared" si="171"/>
        <v>0</v>
      </c>
      <c r="AH159" s="40">
        <f t="shared" si="172"/>
        <v>0</v>
      </c>
      <c r="AI159" s="44">
        <f t="shared" si="173"/>
        <v>8633.57747567566</v>
      </c>
      <c r="AJ159" s="35">
        <f t="shared" si="159"/>
        <v>9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1038.1593243517721</v>
      </c>
      <c r="AL159" s="57">
        <v>0</v>
      </c>
      <c r="AM159" s="57">
        <v>0</v>
      </c>
      <c r="AN159" s="61">
        <f t="shared" si="160"/>
        <v>9</v>
      </c>
      <c r="AO159" s="40">
        <f t="shared" si="174"/>
        <v>0</v>
      </c>
      <c r="AP159" s="40">
        <f t="shared" si="175"/>
        <v>0</v>
      </c>
      <c r="AQ159" s="44">
        <f t="shared" si="176"/>
        <v>9343.4339191659492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20</v>
      </c>
      <c r="G160" s="35">
        <f>SUMIFS(WORKING!$AC$3:$AC$6802,WORKING!$A$3:$A$6802,Results!$D$3,WORKING!$B$3:$B$6802,Results!A160,WORKING!$C$3:$C$6802,Results!C160)/1000</f>
        <v>19090.687720000002</v>
      </c>
      <c r="H160" s="35">
        <f t="shared" si="161"/>
        <v>954.53438600000004</v>
      </c>
      <c r="I160" s="187">
        <v>19</v>
      </c>
      <c r="J160" s="212">
        <v>15238</v>
      </c>
      <c r="K160" s="217">
        <f t="shared" si="162"/>
        <v>802</v>
      </c>
      <c r="L160" s="34">
        <f t="shared" si="155"/>
        <v>19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840.52018070462736</v>
      </c>
      <c r="N160" s="57">
        <v>0</v>
      </c>
      <c r="O160" s="57">
        <v>0</v>
      </c>
      <c r="P160" s="61">
        <f t="shared" si="156"/>
        <v>19</v>
      </c>
      <c r="Q160" s="40">
        <f t="shared" si="163"/>
        <v>0</v>
      </c>
      <c r="R160" s="40">
        <f t="shared" si="164"/>
        <v>0</v>
      </c>
      <c r="S160" s="44">
        <f t="shared" si="165"/>
        <v>15969.88343338792</v>
      </c>
      <c r="T160" s="35">
        <f t="shared" si="166"/>
        <v>19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903.91473472905818</v>
      </c>
      <c r="V160" s="57">
        <v>0</v>
      </c>
      <c r="W160" s="57">
        <v>0</v>
      </c>
      <c r="X160" s="61">
        <f t="shared" si="157"/>
        <v>19</v>
      </c>
      <c r="Y160" s="40">
        <f t="shared" si="167"/>
        <v>0</v>
      </c>
      <c r="Z160" s="40">
        <f t="shared" si="168"/>
        <v>0</v>
      </c>
      <c r="AA160" s="44">
        <f t="shared" si="169"/>
        <v>17174.379959852107</v>
      </c>
      <c r="AB160" s="35">
        <f t="shared" si="170"/>
        <v>19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971.17362953993268</v>
      </c>
      <c r="AD160" s="57">
        <v>0</v>
      </c>
      <c r="AE160" s="57">
        <v>0</v>
      </c>
      <c r="AF160" s="61">
        <f t="shared" si="158"/>
        <v>19</v>
      </c>
      <c r="AG160" s="40">
        <f t="shared" si="171"/>
        <v>0</v>
      </c>
      <c r="AH160" s="40">
        <f t="shared" si="172"/>
        <v>0</v>
      </c>
      <c r="AI160" s="44">
        <f t="shared" si="173"/>
        <v>18452.298961258723</v>
      </c>
      <c r="AJ160" s="35">
        <f t="shared" si="159"/>
        <v>19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1041.466546084537</v>
      </c>
      <c r="AL160" s="57">
        <v>0</v>
      </c>
      <c r="AM160" s="57">
        <v>0</v>
      </c>
      <c r="AN160" s="61">
        <f t="shared" si="160"/>
        <v>19</v>
      </c>
      <c r="AO160" s="40">
        <f t="shared" si="174"/>
        <v>0</v>
      </c>
      <c r="AP160" s="40">
        <f t="shared" si="175"/>
        <v>0</v>
      </c>
      <c r="AQ160" s="44">
        <f t="shared" si="176"/>
        <v>19787.864375606201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5</v>
      </c>
      <c r="G161" s="35">
        <f>SUMIFS(WORKING!$AC$3:$AC$6802,WORKING!$A$3:$A$6802,Results!$D$3,WORKING!$B$3:$B$6802,Results!A161,WORKING!$C$3:$C$6802,Results!C161)/1000</f>
        <v>5270.2417400000004</v>
      </c>
      <c r="H161" s="35">
        <f t="shared" si="161"/>
        <v>1054.048348</v>
      </c>
      <c r="I161" s="187">
        <v>5</v>
      </c>
      <c r="J161" s="212">
        <v>5525</v>
      </c>
      <c r="K161" s="217">
        <f t="shared" si="162"/>
        <v>1105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1158.0958784961872</v>
      </c>
      <c r="N161" s="57">
        <v>0</v>
      </c>
      <c r="O161" s="57">
        <v>0</v>
      </c>
      <c r="P161" s="61">
        <f t="shared" si="156"/>
        <v>5</v>
      </c>
      <c r="Q161" s="40">
        <f t="shared" si="163"/>
        <v>0</v>
      </c>
      <c r="R161" s="40">
        <f t="shared" si="164"/>
        <v>0</v>
      </c>
      <c r="S161" s="44">
        <f t="shared" si="165"/>
        <v>5790.4793924809364</v>
      </c>
      <c r="T161" s="35">
        <f t="shared" si="166"/>
        <v>5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1245.4672089089436</v>
      </c>
      <c r="V161" s="57">
        <v>0</v>
      </c>
      <c r="W161" s="57">
        <v>0</v>
      </c>
      <c r="X161" s="61">
        <f t="shared" si="157"/>
        <v>5</v>
      </c>
      <c r="Y161" s="40">
        <f t="shared" si="167"/>
        <v>0</v>
      </c>
      <c r="Z161" s="40">
        <f t="shared" si="168"/>
        <v>0</v>
      </c>
      <c r="AA161" s="44">
        <f t="shared" si="169"/>
        <v>6227.3360445447179</v>
      </c>
      <c r="AB161" s="35">
        <f t="shared" si="170"/>
        <v>5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1338.1665644452819</v>
      </c>
      <c r="AD161" s="57">
        <v>0</v>
      </c>
      <c r="AE161" s="57">
        <v>0</v>
      </c>
      <c r="AF161" s="61">
        <f t="shared" si="158"/>
        <v>5</v>
      </c>
      <c r="AG161" s="40">
        <f t="shared" si="171"/>
        <v>0</v>
      </c>
      <c r="AH161" s="40">
        <f t="shared" si="172"/>
        <v>0</v>
      </c>
      <c r="AI161" s="44">
        <f t="shared" si="173"/>
        <v>6690.8328222264099</v>
      </c>
      <c r="AJ161" s="35">
        <f t="shared" si="159"/>
        <v>5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1435.0501491135831</v>
      </c>
      <c r="AL161" s="57">
        <v>0</v>
      </c>
      <c r="AM161" s="57">
        <v>0</v>
      </c>
      <c r="AN161" s="61">
        <f t="shared" si="160"/>
        <v>5</v>
      </c>
      <c r="AO161" s="40">
        <f t="shared" si="174"/>
        <v>0</v>
      </c>
      <c r="AP161" s="40">
        <f t="shared" si="175"/>
        <v>0</v>
      </c>
      <c r="AQ161" s="44">
        <f t="shared" si="176"/>
        <v>7175.2507455679151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2530.2455399999999</v>
      </c>
      <c r="H162" s="35">
        <f t="shared" si="161"/>
        <v>2530.2455399999999</v>
      </c>
      <c r="I162" s="187">
        <v>2</v>
      </c>
      <c r="J162" s="212">
        <v>2694</v>
      </c>
      <c r="K162" s="217">
        <f t="shared" si="162"/>
        <v>1347</v>
      </c>
      <c r="L162" s="34">
        <f t="shared" si="155"/>
        <v>2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1412.2553857672401</v>
      </c>
      <c r="N162" s="57">
        <v>0</v>
      </c>
      <c r="O162" s="57">
        <v>0</v>
      </c>
      <c r="P162" s="61">
        <f t="shared" si="156"/>
        <v>2</v>
      </c>
      <c r="Q162" s="40">
        <f t="shared" si="163"/>
        <v>0</v>
      </c>
      <c r="R162" s="40">
        <f t="shared" si="164"/>
        <v>0</v>
      </c>
      <c r="S162" s="44">
        <f t="shared" si="165"/>
        <v>2824.5107715344802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1519.3730796889658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3038.7461593779317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1633.0734182177812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3266.1468364355624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1751.9673950822321</v>
      </c>
      <c r="AL162" s="57">
        <v>0</v>
      </c>
      <c r="AM162" s="57">
        <v>0</v>
      </c>
      <c r="AN162" s="61">
        <f t="shared" si="160"/>
        <v>2</v>
      </c>
      <c r="AO162" s="40">
        <f t="shared" si="174"/>
        <v>0</v>
      </c>
      <c r="AP162" s="40">
        <f t="shared" si="175"/>
        <v>0</v>
      </c>
      <c r="AQ162" s="44">
        <f t="shared" si="176"/>
        <v>3503.9347901644642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90</v>
      </c>
      <c r="G168" s="41">
        <f>SUM(G148:G167)</f>
        <v>55264.576430000001</v>
      </c>
      <c r="H168" s="41">
        <f>IFERROR(G168/F168,0)</f>
        <v>614.05084922222227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89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53534</v>
      </c>
      <c r="K168" s="41">
        <f>IFERROR(J168/I168,"")</f>
        <v>601.50561797752812</v>
      </c>
      <c r="L168" s="41">
        <f>SUM(L148:L167)</f>
        <v>89</v>
      </c>
      <c r="M168" s="41">
        <f>IFERROR(S168/P168,0)</f>
        <v>644.75439764352268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89</v>
      </c>
      <c r="Q168" s="41">
        <f t="shared" si="177"/>
        <v>0</v>
      </c>
      <c r="R168" s="41">
        <f t="shared" si="177"/>
        <v>0</v>
      </c>
      <c r="S168" s="45">
        <f t="shared" si="177"/>
        <v>57383.141390273522</v>
      </c>
      <c r="T168" s="41">
        <f t="shared" si="177"/>
        <v>89</v>
      </c>
      <c r="U168" s="41">
        <f>IFERROR(AA168/X168,0)</f>
        <v>712.1856672663497</v>
      </c>
      <c r="V168" s="41">
        <f t="shared" ref="V168:AB168" si="178">SUM(V148:V167)</f>
        <v>0</v>
      </c>
      <c r="W168" s="41">
        <f t="shared" si="178"/>
        <v>3</v>
      </c>
      <c r="X168" s="41">
        <f t="shared" si="178"/>
        <v>86</v>
      </c>
      <c r="Y168" s="41">
        <f t="shared" si="178"/>
        <v>0</v>
      </c>
      <c r="Z168" s="41">
        <f t="shared" si="178"/>
        <v>-790.68939433448963</v>
      </c>
      <c r="AA168" s="45">
        <f t="shared" si="178"/>
        <v>61247.967384906071</v>
      </c>
      <c r="AB168" s="41">
        <f t="shared" si="178"/>
        <v>86</v>
      </c>
      <c r="AC168" s="41">
        <f>IFERROR(AI168/AF168,0)</f>
        <v>769.22184481539136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86</v>
      </c>
      <c r="AG168" s="41">
        <f t="shared" si="179"/>
        <v>0</v>
      </c>
      <c r="AH168" s="41">
        <f t="shared" si="179"/>
        <v>0</v>
      </c>
      <c r="AI168" s="45">
        <f t="shared" si="179"/>
        <v>66153.078654123659</v>
      </c>
      <c r="AJ168" s="41">
        <f t="shared" si="179"/>
        <v>86</v>
      </c>
      <c r="AK168" s="41">
        <f>IFERROR(AQ168/AN168,0)</f>
        <v>829.28239319370903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86</v>
      </c>
      <c r="AO168" s="41">
        <f t="shared" si="180"/>
        <v>0</v>
      </c>
      <c r="AP168" s="41">
        <f t="shared" si="180"/>
        <v>0</v>
      </c>
      <c r="AQ168" s="45">
        <f t="shared" si="180"/>
        <v>71318.285814658972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53691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57067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60376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64964.576000000001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-3692.1413902735221</v>
      </c>
      <c r="T170" s="39"/>
      <c r="U170" s="39"/>
      <c r="V170" s="53"/>
      <c r="W170" s="53"/>
      <c r="X170" s="110"/>
      <c r="Y170" s="39"/>
      <c r="Z170" s="39"/>
      <c r="AA170" s="54">
        <f>AA169-AA168</f>
        <v>-4180.9673849060709</v>
      </c>
      <c r="AB170" s="39"/>
      <c r="AC170" s="53"/>
      <c r="AD170" s="53"/>
      <c r="AE170" s="110"/>
      <c r="AF170" s="39"/>
      <c r="AG170" s="39"/>
      <c r="AH170" s="39"/>
      <c r="AI170" s="54">
        <f>AI169-AI168</f>
        <v>-5777.0786541236594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-6353.7098146589706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Biodiversity and Conservation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3</v>
      </c>
      <c r="G179" s="35">
        <f>SUMIFS(WORKING!$AC$3:$AC$6802,WORKING!$A$3:$A$6802,Results!$D$3,WORKING!$B$3:$B$6802,Results!A179,WORKING!$C$3:$C$6802,Results!C179)/1000</f>
        <v>530.12966000000006</v>
      </c>
      <c r="H179" s="35">
        <f t="shared" si="187"/>
        <v>176.70988666666668</v>
      </c>
      <c r="I179" s="187">
        <v>3</v>
      </c>
      <c r="J179" s="212">
        <v>530</v>
      </c>
      <c r="K179" s="217">
        <f t="shared" si="188"/>
        <v>176.66666666666666</v>
      </c>
      <c r="L179" s="34">
        <f t="shared" si="181"/>
        <v>3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191.65411593031416</v>
      </c>
      <c r="N179" s="57">
        <v>0</v>
      </c>
      <c r="O179" s="57">
        <v>0</v>
      </c>
      <c r="P179" s="61">
        <f t="shared" si="182"/>
        <v>3</v>
      </c>
      <c r="Q179" s="40">
        <f t="shared" si="189"/>
        <v>0</v>
      </c>
      <c r="R179" s="40">
        <f t="shared" si="190"/>
        <v>0</v>
      </c>
      <c r="S179" s="44">
        <f t="shared" si="191"/>
        <v>574.96234779094243</v>
      </c>
      <c r="T179" s="35">
        <f t="shared" si="192"/>
        <v>3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207.74569419989075</v>
      </c>
      <c r="V179" s="57">
        <v>0</v>
      </c>
      <c r="W179" s="57">
        <v>0</v>
      </c>
      <c r="X179" s="61">
        <f t="shared" si="183"/>
        <v>3</v>
      </c>
      <c r="Y179" s="40">
        <f t="shared" si="193"/>
        <v>0</v>
      </c>
      <c r="Z179" s="40">
        <f t="shared" si="194"/>
        <v>0</v>
      </c>
      <c r="AA179" s="44">
        <f t="shared" si="195"/>
        <v>623.23708259967225</v>
      </c>
      <c r="AB179" s="35">
        <f t="shared" si="196"/>
        <v>3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224.97802142585783</v>
      </c>
      <c r="AD179" s="57">
        <v>0</v>
      </c>
      <c r="AE179" s="57">
        <v>0</v>
      </c>
      <c r="AF179" s="61">
        <f t="shared" si="184"/>
        <v>3</v>
      </c>
      <c r="AG179" s="40">
        <f t="shared" si="197"/>
        <v>0</v>
      </c>
      <c r="AH179" s="40">
        <f t="shared" si="198"/>
        <v>0</v>
      </c>
      <c r="AI179" s="44">
        <f t="shared" si="199"/>
        <v>674.9340642775735</v>
      </c>
      <c r="AJ179" s="35">
        <f t="shared" si="185"/>
        <v>3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243.1842127905787</v>
      </c>
      <c r="AL179" s="57">
        <v>0</v>
      </c>
      <c r="AM179" s="57">
        <v>0</v>
      </c>
      <c r="AN179" s="61">
        <f t="shared" si="186"/>
        <v>3</v>
      </c>
      <c r="AO179" s="40">
        <f t="shared" si="200"/>
        <v>0</v>
      </c>
      <c r="AP179" s="40">
        <f t="shared" si="201"/>
        <v>0</v>
      </c>
      <c r="AQ179" s="44">
        <f t="shared" si="202"/>
        <v>729.55263837173607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0</v>
      </c>
      <c r="J180" s="212">
        <v>0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10</v>
      </c>
      <c r="G181" s="35">
        <f>SUMIFS(WORKING!$AC$3:$AC$6802,WORKING!$A$3:$A$6802,Results!$D$3,WORKING!$B$3:$B$6802,Results!A181,WORKING!$C$3:$C$6802,Results!C181)/1000</f>
        <v>2214.8004000000001</v>
      </c>
      <c r="H181" s="35">
        <f t="shared" si="187"/>
        <v>221.48004</v>
      </c>
      <c r="I181" s="187">
        <v>10</v>
      </c>
      <c r="J181" s="212">
        <v>2210</v>
      </c>
      <c r="K181" s="217">
        <f t="shared" si="188"/>
        <v>221</v>
      </c>
      <c r="L181" s="34">
        <f t="shared" si="181"/>
        <v>10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240.47092607699008</v>
      </c>
      <c r="N181" s="57">
        <v>0</v>
      </c>
      <c r="O181" s="57">
        <v>0</v>
      </c>
      <c r="P181" s="61">
        <f t="shared" si="182"/>
        <v>10</v>
      </c>
      <c r="Q181" s="40">
        <f t="shared" si="189"/>
        <v>0</v>
      </c>
      <c r="R181" s="40">
        <f t="shared" si="190"/>
        <v>0</v>
      </c>
      <c r="S181" s="44">
        <f t="shared" si="191"/>
        <v>2404.709260769901</v>
      </c>
      <c r="T181" s="35">
        <f t="shared" si="192"/>
        <v>10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260.88638324607871</v>
      </c>
      <c r="V181" s="57">
        <v>0</v>
      </c>
      <c r="W181" s="57">
        <v>4</v>
      </c>
      <c r="X181" s="61">
        <f t="shared" si="183"/>
        <v>6</v>
      </c>
      <c r="Y181" s="40">
        <f t="shared" si="193"/>
        <v>0</v>
      </c>
      <c r="Z181" s="40">
        <f t="shared" si="194"/>
        <v>-1043.5455329843148</v>
      </c>
      <c r="AA181" s="44">
        <f t="shared" si="195"/>
        <v>1565.3182994764722</v>
      </c>
      <c r="AB181" s="35">
        <f t="shared" si="196"/>
        <v>6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282.77062291279333</v>
      </c>
      <c r="AD181" s="57">
        <v>0</v>
      </c>
      <c r="AE181" s="57">
        <v>0</v>
      </c>
      <c r="AF181" s="61">
        <f t="shared" si="184"/>
        <v>6</v>
      </c>
      <c r="AG181" s="40">
        <f t="shared" si="197"/>
        <v>0</v>
      </c>
      <c r="AH181" s="40">
        <f t="shared" si="198"/>
        <v>0</v>
      </c>
      <c r="AI181" s="44">
        <f t="shared" si="199"/>
        <v>1696.62373747676</v>
      </c>
      <c r="AJ181" s="35">
        <f t="shared" si="185"/>
        <v>6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305.91734788974765</v>
      </c>
      <c r="AL181" s="57">
        <v>0</v>
      </c>
      <c r="AM181" s="57">
        <v>0</v>
      </c>
      <c r="AN181" s="61">
        <f t="shared" si="186"/>
        <v>6</v>
      </c>
      <c r="AO181" s="40">
        <f t="shared" si="200"/>
        <v>0</v>
      </c>
      <c r="AP181" s="40">
        <f t="shared" si="201"/>
        <v>0</v>
      </c>
      <c r="AQ181" s="44">
        <f t="shared" si="202"/>
        <v>1835.504087338486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19</v>
      </c>
      <c r="G182" s="35">
        <f>SUMIFS(WORKING!$AC$3:$AC$6802,WORKING!$A$3:$A$6802,Results!$D$3,WORKING!$B$3:$B$6802,Results!A182,WORKING!$C$3:$C$6802,Results!C182)/1000</f>
        <v>4496.4006300000001</v>
      </c>
      <c r="H182" s="35">
        <f t="shared" si="187"/>
        <v>236.6526647368421</v>
      </c>
      <c r="I182" s="187">
        <v>19</v>
      </c>
      <c r="J182" s="212">
        <v>4940</v>
      </c>
      <c r="K182" s="217">
        <f t="shared" si="188"/>
        <v>260</v>
      </c>
      <c r="L182" s="34">
        <f t="shared" si="181"/>
        <v>19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283.12430478592529</v>
      </c>
      <c r="N182" s="57">
        <v>0</v>
      </c>
      <c r="O182" s="57">
        <v>0</v>
      </c>
      <c r="P182" s="61">
        <f t="shared" si="182"/>
        <v>19</v>
      </c>
      <c r="Q182" s="40">
        <f t="shared" si="189"/>
        <v>0</v>
      </c>
      <c r="R182" s="40">
        <f t="shared" si="190"/>
        <v>0</v>
      </c>
      <c r="S182" s="44">
        <f t="shared" si="191"/>
        <v>5379.3617909325803</v>
      </c>
      <c r="T182" s="35">
        <f t="shared" si="192"/>
        <v>19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307.22906170215515</v>
      </c>
      <c r="V182" s="57">
        <v>0</v>
      </c>
      <c r="W182" s="57">
        <v>3</v>
      </c>
      <c r="X182" s="61">
        <f t="shared" si="183"/>
        <v>16</v>
      </c>
      <c r="Y182" s="40">
        <f t="shared" si="193"/>
        <v>0</v>
      </c>
      <c r="Z182" s="40">
        <f t="shared" si="194"/>
        <v>-921.68718510646545</v>
      </c>
      <c r="AA182" s="44">
        <f t="shared" si="195"/>
        <v>4915.6649872344824</v>
      </c>
      <c r="AB182" s="35">
        <f t="shared" si="196"/>
        <v>16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333.07452546064172</v>
      </c>
      <c r="AD182" s="57">
        <v>0</v>
      </c>
      <c r="AE182" s="57">
        <v>0</v>
      </c>
      <c r="AF182" s="61">
        <f t="shared" si="184"/>
        <v>16</v>
      </c>
      <c r="AG182" s="40">
        <f t="shared" si="197"/>
        <v>0</v>
      </c>
      <c r="AH182" s="40">
        <f t="shared" si="198"/>
        <v>0</v>
      </c>
      <c r="AI182" s="44">
        <f t="shared" si="199"/>
        <v>5329.1924073702676</v>
      </c>
      <c r="AJ182" s="35">
        <f t="shared" si="185"/>
        <v>16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360.41874005911041</v>
      </c>
      <c r="AL182" s="57">
        <v>0</v>
      </c>
      <c r="AM182" s="57">
        <v>0</v>
      </c>
      <c r="AN182" s="61">
        <f t="shared" si="186"/>
        <v>16</v>
      </c>
      <c r="AO182" s="40">
        <f t="shared" si="200"/>
        <v>0</v>
      </c>
      <c r="AP182" s="40">
        <f t="shared" si="201"/>
        <v>0</v>
      </c>
      <c r="AQ182" s="44">
        <f t="shared" si="202"/>
        <v>5766.6998409457665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13</v>
      </c>
      <c r="G183" s="35">
        <f>SUMIFS(WORKING!$AC$3:$AC$6802,WORKING!$A$3:$A$6802,Results!$D$3,WORKING!$B$3:$B$6802,Results!A183,WORKING!$C$3:$C$6802,Results!C183)/1000</f>
        <v>3921.3077600000001</v>
      </c>
      <c r="H183" s="35">
        <f t="shared" si="187"/>
        <v>301.63905846153847</v>
      </c>
      <c r="I183" s="187">
        <v>13</v>
      </c>
      <c r="J183" s="212">
        <v>4459</v>
      </c>
      <c r="K183" s="217">
        <f t="shared" si="188"/>
        <v>343</v>
      </c>
      <c r="L183" s="34">
        <f t="shared" si="181"/>
        <v>13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373.33420960718047</v>
      </c>
      <c r="N183" s="57">
        <v>0</v>
      </c>
      <c r="O183" s="57">
        <v>0</v>
      </c>
      <c r="P183" s="61">
        <f t="shared" si="182"/>
        <v>13</v>
      </c>
      <c r="Q183" s="40">
        <f t="shared" si="189"/>
        <v>0</v>
      </c>
      <c r="R183" s="40">
        <f t="shared" si="190"/>
        <v>0</v>
      </c>
      <c r="S183" s="44">
        <f t="shared" si="191"/>
        <v>4853.3447248933462</v>
      </c>
      <c r="T183" s="35">
        <f t="shared" si="192"/>
        <v>13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405.06682111799898</v>
      </c>
      <c r="V183" s="57">
        <v>0</v>
      </c>
      <c r="W183" s="57">
        <v>0</v>
      </c>
      <c r="X183" s="61">
        <f t="shared" si="183"/>
        <v>13</v>
      </c>
      <c r="Y183" s="40">
        <f t="shared" si="193"/>
        <v>0</v>
      </c>
      <c r="Z183" s="40">
        <f t="shared" si="194"/>
        <v>0</v>
      </c>
      <c r="AA183" s="44">
        <f t="shared" si="195"/>
        <v>5265.8686745339865</v>
      </c>
      <c r="AB183" s="35">
        <f t="shared" si="196"/>
        <v>13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439.08592712162209</v>
      </c>
      <c r="AD183" s="57">
        <v>0</v>
      </c>
      <c r="AE183" s="57">
        <v>0</v>
      </c>
      <c r="AF183" s="61">
        <f t="shared" si="184"/>
        <v>13</v>
      </c>
      <c r="AG183" s="40">
        <f t="shared" si="197"/>
        <v>0</v>
      </c>
      <c r="AH183" s="40">
        <f t="shared" si="198"/>
        <v>0</v>
      </c>
      <c r="AI183" s="44">
        <f t="shared" si="199"/>
        <v>5708.1170525810876</v>
      </c>
      <c r="AJ183" s="35">
        <f t="shared" si="185"/>
        <v>13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475.07168589454648</v>
      </c>
      <c r="AL183" s="57">
        <v>0</v>
      </c>
      <c r="AM183" s="57">
        <v>0</v>
      </c>
      <c r="AN183" s="61">
        <f t="shared" si="186"/>
        <v>13</v>
      </c>
      <c r="AO183" s="40">
        <f t="shared" si="200"/>
        <v>0</v>
      </c>
      <c r="AP183" s="40">
        <f t="shared" si="201"/>
        <v>0</v>
      </c>
      <c r="AQ183" s="44">
        <f t="shared" si="202"/>
        <v>6175.9319166291043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6</v>
      </c>
      <c r="G184" s="35">
        <f>SUMIFS(WORKING!$AC$3:$AC$6802,WORKING!$A$3:$A$6802,Results!$D$3,WORKING!$B$3:$B$6802,Results!A184,WORKING!$C$3:$C$6802,Results!C184)/1000</f>
        <v>2496.7037800000003</v>
      </c>
      <c r="H184" s="35">
        <f t="shared" si="187"/>
        <v>416.11729666666673</v>
      </c>
      <c r="I184" s="187">
        <v>6</v>
      </c>
      <c r="J184" s="212">
        <v>2497</v>
      </c>
      <c r="K184" s="217">
        <f t="shared" si="188"/>
        <v>416.16666666666669</v>
      </c>
      <c r="L184" s="34">
        <f t="shared" si="181"/>
        <v>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453.47414030373062</v>
      </c>
      <c r="N184" s="57">
        <v>0</v>
      </c>
      <c r="O184" s="57">
        <v>0</v>
      </c>
      <c r="P184" s="61">
        <f t="shared" si="182"/>
        <v>6</v>
      </c>
      <c r="Q184" s="40">
        <f t="shared" si="189"/>
        <v>0</v>
      </c>
      <c r="R184" s="40">
        <f t="shared" si="190"/>
        <v>0</v>
      </c>
      <c r="S184" s="44">
        <f t="shared" si="191"/>
        <v>2720.8448418223838</v>
      </c>
      <c r="T184" s="35">
        <f t="shared" si="192"/>
        <v>6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492.17424991705934</v>
      </c>
      <c r="V184" s="57">
        <v>0</v>
      </c>
      <c r="W184" s="57">
        <v>0</v>
      </c>
      <c r="X184" s="61">
        <f t="shared" si="183"/>
        <v>6</v>
      </c>
      <c r="Y184" s="40">
        <f t="shared" si="193"/>
        <v>0</v>
      </c>
      <c r="Z184" s="40">
        <f t="shared" si="194"/>
        <v>0</v>
      </c>
      <c r="AA184" s="44">
        <f t="shared" si="195"/>
        <v>2953.0454995023561</v>
      </c>
      <c r="AB184" s="35">
        <f t="shared" si="196"/>
        <v>6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533.67786526195323</v>
      </c>
      <c r="AD184" s="57">
        <v>0</v>
      </c>
      <c r="AE184" s="57">
        <v>0</v>
      </c>
      <c r="AF184" s="61">
        <f t="shared" si="184"/>
        <v>6</v>
      </c>
      <c r="AG184" s="40">
        <f t="shared" si="197"/>
        <v>0</v>
      </c>
      <c r="AH184" s="40">
        <f t="shared" si="198"/>
        <v>0</v>
      </c>
      <c r="AI184" s="44">
        <f t="shared" si="199"/>
        <v>3202.0671915717194</v>
      </c>
      <c r="AJ184" s="35">
        <f t="shared" si="185"/>
        <v>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577.59873425736259</v>
      </c>
      <c r="AL184" s="57">
        <v>0</v>
      </c>
      <c r="AM184" s="57">
        <v>0</v>
      </c>
      <c r="AN184" s="61">
        <f t="shared" si="186"/>
        <v>6</v>
      </c>
      <c r="AO184" s="40">
        <f t="shared" si="200"/>
        <v>0</v>
      </c>
      <c r="AP184" s="40">
        <f t="shared" si="201"/>
        <v>0</v>
      </c>
      <c r="AQ184" s="44">
        <f t="shared" si="202"/>
        <v>3465.5924055441756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24</v>
      </c>
      <c r="G185" s="35">
        <f>SUMIFS(WORKING!$AC$3:$AC$6802,WORKING!$A$3:$A$6802,Results!$D$3,WORKING!$B$3:$B$6802,Results!A185,WORKING!$C$3:$C$6802,Results!C185)/1000</f>
        <v>10728.35836</v>
      </c>
      <c r="H185" s="35">
        <f t="shared" si="187"/>
        <v>447.01493166666666</v>
      </c>
      <c r="I185" s="187">
        <v>24</v>
      </c>
      <c r="J185" s="212">
        <v>11088</v>
      </c>
      <c r="K185" s="217">
        <f t="shared" si="188"/>
        <v>462</v>
      </c>
      <c r="L185" s="34">
        <f t="shared" si="181"/>
        <v>24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503.61281470981044</v>
      </c>
      <c r="N185" s="57">
        <v>0</v>
      </c>
      <c r="O185" s="57">
        <v>0</v>
      </c>
      <c r="P185" s="61">
        <f t="shared" si="182"/>
        <v>24</v>
      </c>
      <c r="Q185" s="40">
        <f t="shared" si="189"/>
        <v>0</v>
      </c>
      <c r="R185" s="40">
        <f t="shared" si="190"/>
        <v>0</v>
      </c>
      <c r="S185" s="44">
        <f t="shared" si="191"/>
        <v>12086.70755303545</v>
      </c>
      <c r="T185" s="35">
        <f t="shared" si="192"/>
        <v>24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546.65064391043779</v>
      </c>
      <c r="V185" s="57">
        <v>0</v>
      </c>
      <c r="W185" s="57">
        <v>0</v>
      </c>
      <c r="X185" s="61">
        <f t="shared" si="183"/>
        <v>24</v>
      </c>
      <c r="Y185" s="40">
        <f t="shared" si="193"/>
        <v>0</v>
      </c>
      <c r="Z185" s="40">
        <f t="shared" si="194"/>
        <v>0</v>
      </c>
      <c r="AA185" s="44">
        <f t="shared" si="195"/>
        <v>13119.615453850507</v>
      </c>
      <c r="AB185" s="35">
        <f t="shared" si="196"/>
        <v>24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592.8119861955671</v>
      </c>
      <c r="AD185" s="57">
        <v>0</v>
      </c>
      <c r="AE185" s="57">
        <v>0</v>
      </c>
      <c r="AF185" s="61">
        <f t="shared" si="184"/>
        <v>24</v>
      </c>
      <c r="AG185" s="40">
        <f t="shared" si="197"/>
        <v>0</v>
      </c>
      <c r="AH185" s="40">
        <f t="shared" si="198"/>
        <v>0</v>
      </c>
      <c r="AI185" s="44">
        <f t="shared" si="199"/>
        <v>14227.487668693611</v>
      </c>
      <c r="AJ185" s="35">
        <f t="shared" si="185"/>
        <v>24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641.66889775549555</v>
      </c>
      <c r="AL185" s="57">
        <v>0</v>
      </c>
      <c r="AM185" s="57">
        <v>0</v>
      </c>
      <c r="AN185" s="61">
        <f t="shared" si="186"/>
        <v>24</v>
      </c>
      <c r="AO185" s="40">
        <f t="shared" si="200"/>
        <v>0</v>
      </c>
      <c r="AP185" s="40">
        <f t="shared" si="201"/>
        <v>0</v>
      </c>
      <c r="AQ185" s="44">
        <f t="shared" si="202"/>
        <v>15400.053546131894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16</v>
      </c>
      <c r="G186" s="35">
        <f>SUMIFS(WORKING!$AC$3:$AC$6802,WORKING!$A$3:$A$6802,Results!$D$3,WORKING!$B$3:$B$6802,Results!A186,WORKING!$C$3:$C$6802,Results!C186)/1000</f>
        <v>10208.147639999999</v>
      </c>
      <c r="H186" s="35">
        <f t="shared" si="187"/>
        <v>638.00922749999995</v>
      </c>
      <c r="I186" s="187">
        <v>16</v>
      </c>
      <c r="J186" s="212">
        <v>8936</v>
      </c>
      <c r="K186" s="217">
        <f t="shared" si="188"/>
        <v>558.5</v>
      </c>
      <c r="L186" s="34">
        <f t="shared" si="181"/>
        <v>16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609.59315918820369</v>
      </c>
      <c r="N186" s="57">
        <v>0</v>
      </c>
      <c r="O186" s="57">
        <v>0</v>
      </c>
      <c r="P186" s="61">
        <f t="shared" si="182"/>
        <v>16</v>
      </c>
      <c r="Q186" s="40">
        <f t="shared" si="189"/>
        <v>0</v>
      </c>
      <c r="R186" s="40">
        <f t="shared" si="190"/>
        <v>0</v>
      </c>
      <c r="S186" s="44">
        <f t="shared" si="191"/>
        <v>9753.490547011259</v>
      </c>
      <c r="T186" s="35">
        <f t="shared" si="192"/>
        <v>16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661.65027658073859</v>
      </c>
      <c r="V186" s="57">
        <v>0</v>
      </c>
      <c r="W186" s="57">
        <v>0</v>
      </c>
      <c r="X186" s="61">
        <f t="shared" si="183"/>
        <v>16</v>
      </c>
      <c r="Y186" s="40">
        <f t="shared" si="193"/>
        <v>0</v>
      </c>
      <c r="Z186" s="40">
        <f t="shared" si="194"/>
        <v>0</v>
      </c>
      <c r="AA186" s="44">
        <f t="shared" si="195"/>
        <v>10586.404425291817</v>
      </c>
      <c r="AB186" s="35">
        <f t="shared" si="196"/>
        <v>16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717.48171826208124</v>
      </c>
      <c r="AD186" s="57">
        <v>0</v>
      </c>
      <c r="AE186" s="57">
        <v>0</v>
      </c>
      <c r="AF186" s="61">
        <f t="shared" si="184"/>
        <v>16</v>
      </c>
      <c r="AG186" s="40">
        <f t="shared" si="197"/>
        <v>0</v>
      </c>
      <c r="AH186" s="40">
        <f t="shared" si="198"/>
        <v>0</v>
      </c>
      <c r="AI186" s="44">
        <f t="shared" si="199"/>
        <v>11479.7074921933</v>
      </c>
      <c r="AJ186" s="35">
        <f t="shared" si="185"/>
        <v>16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776.56872292009382</v>
      </c>
      <c r="AL186" s="57">
        <v>0</v>
      </c>
      <c r="AM186" s="57">
        <v>0</v>
      </c>
      <c r="AN186" s="61">
        <f t="shared" si="186"/>
        <v>16</v>
      </c>
      <c r="AO186" s="40">
        <f t="shared" si="200"/>
        <v>0</v>
      </c>
      <c r="AP186" s="40">
        <f t="shared" si="201"/>
        <v>0</v>
      </c>
      <c r="AQ186" s="44">
        <f t="shared" si="202"/>
        <v>12425.099566721501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8</v>
      </c>
      <c r="G187" s="35">
        <f>SUMIFS(WORKING!$AC$3:$AC$6802,WORKING!$A$3:$A$6802,Results!$D$3,WORKING!$B$3:$B$6802,Results!A187,WORKING!$C$3:$C$6802,Results!C187)/1000</f>
        <v>5650.4685600000003</v>
      </c>
      <c r="H187" s="35">
        <f t="shared" si="187"/>
        <v>706.30857000000003</v>
      </c>
      <c r="I187" s="187">
        <v>9</v>
      </c>
      <c r="J187" s="212">
        <v>5867</v>
      </c>
      <c r="K187" s="217">
        <f t="shared" si="188"/>
        <v>651.88888888888891</v>
      </c>
      <c r="L187" s="34">
        <f t="shared" si="181"/>
        <v>9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711.78400202050136</v>
      </c>
      <c r="N187" s="57">
        <v>0</v>
      </c>
      <c r="O187" s="57">
        <v>0</v>
      </c>
      <c r="P187" s="61">
        <f t="shared" si="182"/>
        <v>9</v>
      </c>
      <c r="Q187" s="40">
        <f t="shared" si="189"/>
        <v>0</v>
      </c>
      <c r="R187" s="40">
        <f t="shared" si="190"/>
        <v>0</v>
      </c>
      <c r="S187" s="44">
        <f t="shared" si="191"/>
        <v>6406.0560181845121</v>
      </c>
      <c r="T187" s="35">
        <f t="shared" si="192"/>
        <v>9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772.84850795423904</v>
      </c>
      <c r="V187" s="57">
        <v>0</v>
      </c>
      <c r="W187" s="57">
        <v>0</v>
      </c>
      <c r="X187" s="61">
        <f t="shared" si="183"/>
        <v>9</v>
      </c>
      <c r="Y187" s="40">
        <f t="shared" si="193"/>
        <v>0</v>
      </c>
      <c r="Z187" s="40">
        <f t="shared" si="194"/>
        <v>0</v>
      </c>
      <c r="AA187" s="44">
        <f t="shared" si="195"/>
        <v>6955.6365715881511</v>
      </c>
      <c r="AB187" s="35">
        <f t="shared" si="196"/>
        <v>9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838.3675315808365</v>
      </c>
      <c r="AD187" s="57">
        <v>0</v>
      </c>
      <c r="AE187" s="57">
        <v>0</v>
      </c>
      <c r="AF187" s="61">
        <f t="shared" si="184"/>
        <v>9</v>
      </c>
      <c r="AG187" s="40">
        <f t="shared" si="197"/>
        <v>0</v>
      </c>
      <c r="AH187" s="40">
        <f t="shared" si="198"/>
        <v>0</v>
      </c>
      <c r="AI187" s="44">
        <f t="shared" si="199"/>
        <v>7545.3077842275288</v>
      </c>
      <c r="AJ187" s="35">
        <f t="shared" si="185"/>
        <v>9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907.73951764102458</v>
      </c>
      <c r="AL187" s="57">
        <v>0</v>
      </c>
      <c r="AM187" s="57">
        <v>0</v>
      </c>
      <c r="AN187" s="61">
        <f t="shared" si="186"/>
        <v>9</v>
      </c>
      <c r="AO187" s="40">
        <f t="shared" si="200"/>
        <v>0</v>
      </c>
      <c r="AP187" s="40">
        <f t="shared" si="201"/>
        <v>0</v>
      </c>
      <c r="AQ187" s="44">
        <f t="shared" si="202"/>
        <v>8169.6556587692212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18</v>
      </c>
      <c r="G188" s="35">
        <f>SUMIFS(WORKING!$AC$3:$AC$6802,WORKING!$A$3:$A$6802,Results!$D$3,WORKING!$B$3:$B$6802,Results!A188,WORKING!$C$3:$C$6802,Results!C188)/1000</f>
        <v>16734.850899999998</v>
      </c>
      <c r="H188" s="35">
        <f t="shared" si="187"/>
        <v>929.71393888888872</v>
      </c>
      <c r="I188" s="187">
        <v>15</v>
      </c>
      <c r="J188" s="212">
        <v>13890</v>
      </c>
      <c r="K188" s="217">
        <f t="shared" si="188"/>
        <v>926</v>
      </c>
      <c r="L188" s="34">
        <f t="shared" si="181"/>
        <v>15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970.4640675183548</v>
      </c>
      <c r="N188" s="57">
        <v>0</v>
      </c>
      <c r="O188" s="57">
        <v>0</v>
      </c>
      <c r="P188" s="61">
        <f t="shared" si="182"/>
        <v>15</v>
      </c>
      <c r="Q188" s="40">
        <f t="shared" si="189"/>
        <v>0</v>
      </c>
      <c r="R188" s="40">
        <f t="shared" si="190"/>
        <v>0</v>
      </c>
      <c r="S188" s="44">
        <f t="shared" si="191"/>
        <v>14556.961012775322</v>
      </c>
      <c r="T188" s="35">
        <f t="shared" si="192"/>
        <v>15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1043.6466337900329</v>
      </c>
      <c r="V188" s="57">
        <v>0</v>
      </c>
      <c r="W188" s="57">
        <v>0</v>
      </c>
      <c r="X188" s="61">
        <f t="shared" si="183"/>
        <v>15</v>
      </c>
      <c r="Y188" s="40">
        <f t="shared" si="193"/>
        <v>0</v>
      </c>
      <c r="Z188" s="40">
        <f t="shared" si="194"/>
        <v>0</v>
      </c>
      <c r="AA188" s="44">
        <f t="shared" si="195"/>
        <v>15654.699506850493</v>
      </c>
      <c r="AB188" s="35">
        <f t="shared" si="196"/>
        <v>15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1121.2890688899338</v>
      </c>
      <c r="AD188" s="57">
        <v>0</v>
      </c>
      <c r="AE188" s="57">
        <v>0</v>
      </c>
      <c r="AF188" s="61">
        <f t="shared" si="184"/>
        <v>15</v>
      </c>
      <c r="AG188" s="40">
        <f t="shared" si="197"/>
        <v>0</v>
      </c>
      <c r="AH188" s="40">
        <f t="shared" si="198"/>
        <v>0</v>
      </c>
      <c r="AI188" s="44">
        <f t="shared" si="199"/>
        <v>16819.336033349005</v>
      </c>
      <c r="AJ188" s="35">
        <f t="shared" si="185"/>
        <v>15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1202.4325586596372</v>
      </c>
      <c r="AL188" s="57">
        <v>0</v>
      </c>
      <c r="AM188" s="57">
        <v>0</v>
      </c>
      <c r="AN188" s="61">
        <f t="shared" si="186"/>
        <v>15</v>
      </c>
      <c r="AO188" s="40">
        <f t="shared" si="200"/>
        <v>0</v>
      </c>
      <c r="AP188" s="40">
        <f t="shared" si="201"/>
        <v>0</v>
      </c>
      <c r="AQ188" s="44">
        <f t="shared" si="202"/>
        <v>18036.488379894556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5</v>
      </c>
      <c r="G189" s="35">
        <f>SUMIFS(WORKING!$AC$3:$AC$6802,WORKING!$A$3:$A$6802,Results!$D$3,WORKING!$B$3:$B$6802,Results!A189,WORKING!$C$3:$C$6802,Results!C189)/1000</f>
        <v>6450.7063799999996</v>
      </c>
      <c r="H189" s="35">
        <f t="shared" si="187"/>
        <v>1290.1412759999998</v>
      </c>
      <c r="I189" s="187">
        <v>7</v>
      </c>
      <c r="J189" s="212">
        <v>7455</v>
      </c>
      <c r="K189" s="217">
        <f t="shared" si="188"/>
        <v>1065</v>
      </c>
      <c r="L189" s="34">
        <f t="shared" si="181"/>
        <v>7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1116.3743011500799</v>
      </c>
      <c r="N189" s="57">
        <v>0</v>
      </c>
      <c r="O189" s="57">
        <v>0</v>
      </c>
      <c r="P189" s="61">
        <f t="shared" si="182"/>
        <v>7</v>
      </c>
      <c r="Q189" s="40">
        <f t="shared" si="189"/>
        <v>0</v>
      </c>
      <c r="R189" s="40">
        <f t="shared" si="190"/>
        <v>0</v>
      </c>
      <c r="S189" s="44">
        <f t="shared" si="191"/>
        <v>7814.6201080505589</v>
      </c>
      <c r="T189" s="35">
        <f t="shared" si="192"/>
        <v>7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1200.8135973752815</v>
      </c>
      <c r="V189" s="57">
        <v>0</v>
      </c>
      <c r="W189" s="57">
        <v>0</v>
      </c>
      <c r="X189" s="61">
        <f t="shared" si="183"/>
        <v>7</v>
      </c>
      <c r="Y189" s="40">
        <f t="shared" si="193"/>
        <v>0</v>
      </c>
      <c r="Z189" s="40">
        <f t="shared" si="194"/>
        <v>0</v>
      </c>
      <c r="AA189" s="44">
        <f t="shared" si="195"/>
        <v>8405.6951816269702</v>
      </c>
      <c r="AB189" s="35">
        <f t="shared" si="196"/>
        <v>7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1290.421107740927</v>
      </c>
      <c r="AD189" s="57">
        <v>0</v>
      </c>
      <c r="AE189" s="57">
        <v>0</v>
      </c>
      <c r="AF189" s="61">
        <f t="shared" si="184"/>
        <v>7</v>
      </c>
      <c r="AG189" s="40">
        <f t="shared" si="197"/>
        <v>0</v>
      </c>
      <c r="AH189" s="40">
        <f t="shared" si="198"/>
        <v>0</v>
      </c>
      <c r="AI189" s="44">
        <f t="shared" si="199"/>
        <v>9032.947754186489</v>
      </c>
      <c r="AJ189" s="35">
        <f t="shared" si="185"/>
        <v>7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1384.096424741442</v>
      </c>
      <c r="AL189" s="57">
        <v>0</v>
      </c>
      <c r="AM189" s="57">
        <v>0</v>
      </c>
      <c r="AN189" s="61">
        <f t="shared" si="186"/>
        <v>7</v>
      </c>
      <c r="AO189" s="40">
        <f t="shared" si="200"/>
        <v>0</v>
      </c>
      <c r="AP189" s="40">
        <f t="shared" si="201"/>
        <v>0</v>
      </c>
      <c r="AQ189" s="44">
        <f t="shared" si="202"/>
        <v>9688.6749731900945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224.28111000000001</v>
      </c>
      <c r="H190" s="35">
        <f t="shared" si="187"/>
        <v>224.28111000000001</v>
      </c>
      <c r="I190" s="187">
        <v>1</v>
      </c>
      <c r="J190" s="212">
        <v>1268</v>
      </c>
      <c r="K190" s="217">
        <f t="shared" si="188"/>
        <v>1268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1329.4906385509994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1329.4906385509994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1430.3978790408851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1430.3978790408851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1537.5120429408062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1537.5120429408062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1649.526215496601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1649.526215496601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123</v>
      </c>
      <c r="G196" s="41">
        <f>SUM(G176:G195)</f>
        <v>63656.155180000009</v>
      </c>
      <c r="H196" s="41">
        <f>IFERROR(G196/F196,0)</f>
        <v>517.52971691056916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123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63140</v>
      </c>
      <c r="K196" s="41">
        <f>IFERROR(J196/I196,"")</f>
        <v>513.33333333333337</v>
      </c>
      <c r="L196" s="41">
        <f>SUM(L176:L195)</f>
        <v>123</v>
      </c>
      <c r="M196" s="41">
        <f>IFERROR(S196/P196,0)</f>
        <v>551.87438084404266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123</v>
      </c>
      <c r="Q196" s="41">
        <f t="shared" si="203"/>
        <v>0</v>
      </c>
      <c r="R196" s="41">
        <f t="shared" si="203"/>
        <v>0</v>
      </c>
      <c r="S196" s="45">
        <f t="shared" si="203"/>
        <v>67880.548843817247</v>
      </c>
      <c r="T196" s="41">
        <f t="shared" si="203"/>
        <v>123</v>
      </c>
      <c r="U196" s="41">
        <f>IFERROR(AA196/X196,0)</f>
        <v>616.16882380686025</v>
      </c>
      <c r="V196" s="41">
        <f t="shared" ref="V196:AB196" si="204">SUM(V176:V195)</f>
        <v>0</v>
      </c>
      <c r="W196" s="41">
        <f t="shared" si="204"/>
        <v>7</v>
      </c>
      <c r="X196" s="41">
        <f t="shared" si="204"/>
        <v>116</v>
      </c>
      <c r="Y196" s="41">
        <f t="shared" si="204"/>
        <v>0</v>
      </c>
      <c r="Z196" s="41">
        <f t="shared" si="204"/>
        <v>-1965.2327180907803</v>
      </c>
      <c r="AA196" s="45">
        <f t="shared" si="204"/>
        <v>71475.583561595791</v>
      </c>
      <c r="AB196" s="41">
        <f t="shared" si="204"/>
        <v>116</v>
      </c>
      <c r="AC196" s="41">
        <f>IFERROR(AI196/AF196,0)</f>
        <v>665.97614852472543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116</v>
      </c>
      <c r="AG196" s="41">
        <f t="shared" si="205"/>
        <v>0</v>
      </c>
      <c r="AH196" s="41">
        <f t="shared" si="205"/>
        <v>0</v>
      </c>
      <c r="AI196" s="45">
        <f t="shared" si="205"/>
        <v>77253.23322886815</v>
      </c>
      <c r="AJ196" s="41">
        <f t="shared" si="205"/>
        <v>116</v>
      </c>
      <c r="AK196" s="41">
        <f>IFERROR(AQ196/AN196,0)</f>
        <v>718.47223473304427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116</v>
      </c>
      <c r="AO196" s="41">
        <f t="shared" si="206"/>
        <v>0</v>
      </c>
      <c r="AP196" s="41">
        <f t="shared" si="206"/>
        <v>0</v>
      </c>
      <c r="AQ196" s="45">
        <f t="shared" si="206"/>
        <v>83342.779229033142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69013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73360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77620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83519.12000000001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1132.451156182753</v>
      </c>
      <c r="T198" s="39"/>
      <c r="U198" s="39"/>
      <c r="V198" s="53"/>
      <c r="W198" s="53"/>
      <c r="X198" s="110"/>
      <c r="Y198" s="39"/>
      <c r="Z198" s="39"/>
      <c r="AA198" s="54">
        <f>AA197-AA196</f>
        <v>1884.4164384042087</v>
      </c>
      <c r="AB198" s="39"/>
      <c r="AC198" s="53"/>
      <c r="AD198" s="53"/>
      <c r="AE198" s="110"/>
      <c r="AF198" s="39"/>
      <c r="AG198" s="39"/>
      <c r="AH198" s="39"/>
      <c r="AI198" s="54">
        <f>AI197-AI196</f>
        <v>366.76677113184996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176.34077096686815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Environmental Programmes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32</v>
      </c>
      <c r="G205" s="35">
        <f>SUMIFS(WORKING!$AC$3:$AC$6802,WORKING!$A$3:$A$6802,Results!$D$3,WORKING!$B$3:$B$6802,Results!A205,WORKING!$C$3:$C$6802,Results!C205)/1000</f>
        <v>1381.6953700000001</v>
      </c>
      <c r="H205" s="35">
        <f t="shared" ref="H205:H223" si="213">IFERROR(G205/F205,0)</f>
        <v>43.177980312500004</v>
      </c>
      <c r="I205" s="187">
        <v>32</v>
      </c>
      <c r="J205" s="212">
        <v>3584</v>
      </c>
      <c r="K205" s="217">
        <f t="shared" ref="K205:K223" si="214">IFERROR(IF(J205="",G205,J205)/IF(I205="",F205,I205),"")</f>
        <v>112</v>
      </c>
      <c r="L205" s="34">
        <f t="shared" si="207"/>
        <v>32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122.31850537692981</v>
      </c>
      <c r="N205" s="57">
        <v>0</v>
      </c>
      <c r="O205" s="57">
        <v>0</v>
      </c>
      <c r="P205" s="61">
        <f t="shared" si="208"/>
        <v>32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3914.1921720617538</v>
      </c>
      <c r="T205" s="35">
        <f t="shared" ref="T205:T223" si="218">P205</f>
        <v>32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132.84273707747965</v>
      </c>
      <c r="V205" s="57">
        <v>0</v>
      </c>
      <c r="W205" s="57">
        <v>0</v>
      </c>
      <c r="X205" s="61">
        <f t="shared" si="209"/>
        <v>32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4250.9675864793489</v>
      </c>
      <c r="AB205" s="35">
        <f t="shared" ref="AB205:AB223" si="222">X205</f>
        <v>32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144.1376350729646</v>
      </c>
      <c r="AD205" s="57">
        <v>0</v>
      </c>
      <c r="AE205" s="57">
        <v>0</v>
      </c>
      <c r="AF205" s="61">
        <f t="shared" si="210"/>
        <v>32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4612.4043223348672</v>
      </c>
      <c r="AJ205" s="35">
        <f t="shared" si="211"/>
        <v>32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156.10028044316434</v>
      </c>
      <c r="AL205" s="57">
        <v>0</v>
      </c>
      <c r="AM205" s="57">
        <v>0</v>
      </c>
      <c r="AN205" s="61">
        <f t="shared" si="212"/>
        <v>32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4995.2089741812588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918.78212000000019</v>
      </c>
      <c r="H206" s="35">
        <f t="shared" si="213"/>
        <v>0</v>
      </c>
      <c r="I206" s="187">
        <v>0</v>
      </c>
      <c r="J206" s="212">
        <v>0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17</v>
      </c>
      <c r="G207" s="35">
        <f>SUMIFS(WORKING!$AC$3:$AC$6802,WORKING!$A$3:$A$6802,Results!$D$3,WORKING!$B$3:$B$6802,Results!A207,WORKING!$C$3:$C$6802,Results!C207)/1000</f>
        <v>2831.2547000000004</v>
      </c>
      <c r="H207" s="35">
        <f t="shared" si="213"/>
        <v>166.54439411764707</v>
      </c>
      <c r="I207" s="187">
        <v>17</v>
      </c>
      <c r="J207" s="212">
        <v>2652</v>
      </c>
      <c r="K207" s="217">
        <f t="shared" si="214"/>
        <v>156</v>
      </c>
      <c r="L207" s="34">
        <f t="shared" si="207"/>
        <v>17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169.50748777578985</v>
      </c>
      <c r="N207" s="57">
        <v>0</v>
      </c>
      <c r="O207" s="57">
        <v>0</v>
      </c>
      <c r="P207" s="61">
        <f t="shared" si="208"/>
        <v>17</v>
      </c>
      <c r="Q207" s="40">
        <f t="shared" si="215"/>
        <v>0</v>
      </c>
      <c r="R207" s="40">
        <f t="shared" si="216"/>
        <v>0</v>
      </c>
      <c r="S207" s="44">
        <f t="shared" si="217"/>
        <v>2881.6272921884274</v>
      </c>
      <c r="T207" s="35">
        <f t="shared" si="218"/>
        <v>17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183.82533386492631</v>
      </c>
      <c r="V207" s="57">
        <v>0</v>
      </c>
      <c r="W207" s="57">
        <v>0</v>
      </c>
      <c r="X207" s="61">
        <f t="shared" si="209"/>
        <v>17</v>
      </c>
      <c r="Y207" s="40">
        <f t="shared" si="219"/>
        <v>0</v>
      </c>
      <c r="Z207" s="40">
        <f t="shared" si="220"/>
        <v>0</v>
      </c>
      <c r="AA207" s="44">
        <f t="shared" si="221"/>
        <v>3125.0306757037474</v>
      </c>
      <c r="AB207" s="35">
        <f t="shared" si="222"/>
        <v>17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199.16630229288185</v>
      </c>
      <c r="AD207" s="57">
        <v>0</v>
      </c>
      <c r="AE207" s="57">
        <v>1</v>
      </c>
      <c r="AF207" s="61">
        <f t="shared" si="210"/>
        <v>16</v>
      </c>
      <c r="AG207" s="40">
        <f t="shared" si="223"/>
        <v>0</v>
      </c>
      <c r="AH207" s="40">
        <f t="shared" si="224"/>
        <v>-199.16630229288185</v>
      </c>
      <c r="AI207" s="44">
        <f t="shared" si="225"/>
        <v>3186.6608366861096</v>
      </c>
      <c r="AJ207" s="35">
        <f t="shared" si="211"/>
        <v>16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215.38391103322238</v>
      </c>
      <c r="AL207" s="57">
        <v>0</v>
      </c>
      <c r="AM207" s="57">
        <v>0</v>
      </c>
      <c r="AN207" s="61">
        <f t="shared" si="212"/>
        <v>16</v>
      </c>
      <c r="AO207" s="40">
        <f t="shared" si="226"/>
        <v>0</v>
      </c>
      <c r="AP207" s="40">
        <f t="shared" si="227"/>
        <v>0</v>
      </c>
      <c r="AQ207" s="44">
        <f t="shared" si="228"/>
        <v>3446.142576531558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>
        <v>0</v>
      </c>
      <c r="J208" s="212">
        <v>0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80</v>
      </c>
      <c r="G209" s="35">
        <f>SUMIFS(WORKING!$AC$3:$AC$6802,WORKING!$A$3:$A$6802,Results!$D$3,WORKING!$B$3:$B$6802,Results!A209,WORKING!$C$3:$C$6802,Results!C209)/1000</f>
        <v>18651.568000000003</v>
      </c>
      <c r="H209" s="35">
        <f t="shared" si="213"/>
        <v>233.14460000000003</v>
      </c>
      <c r="I209" s="187">
        <v>80</v>
      </c>
      <c r="J209" s="212">
        <v>18080</v>
      </c>
      <c r="K209" s="217">
        <f t="shared" si="214"/>
        <v>226</v>
      </c>
      <c r="L209" s="34">
        <f t="shared" si="207"/>
        <v>80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245.90384168711785</v>
      </c>
      <c r="N209" s="57">
        <v>0</v>
      </c>
      <c r="O209" s="57">
        <v>0</v>
      </c>
      <c r="P209" s="61">
        <f t="shared" si="208"/>
        <v>80</v>
      </c>
      <c r="Q209" s="40">
        <f t="shared" si="215"/>
        <v>0</v>
      </c>
      <c r="R209" s="40">
        <f t="shared" si="216"/>
        <v>0</v>
      </c>
      <c r="S209" s="44">
        <f t="shared" si="217"/>
        <v>19672.307334969428</v>
      </c>
      <c r="T209" s="35">
        <f t="shared" si="218"/>
        <v>80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266.77793730879591</v>
      </c>
      <c r="V209" s="57">
        <v>0</v>
      </c>
      <c r="W209" s="57">
        <v>2</v>
      </c>
      <c r="X209" s="61">
        <f t="shared" si="209"/>
        <v>78</v>
      </c>
      <c r="Y209" s="40">
        <f t="shared" si="219"/>
        <v>0</v>
      </c>
      <c r="Z209" s="40">
        <f t="shared" si="220"/>
        <v>-533.55587461759183</v>
      </c>
      <c r="AA209" s="44">
        <f t="shared" si="221"/>
        <v>20808.679110086083</v>
      </c>
      <c r="AB209" s="35">
        <f t="shared" si="222"/>
        <v>78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289.15357662940812</v>
      </c>
      <c r="AD209" s="57">
        <v>0</v>
      </c>
      <c r="AE209" s="57">
        <v>1</v>
      </c>
      <c r="AF209" s="61">
        <f t="shared" si="210"/>
        <v>77</v>
      </c>
      <c r="AG209" s="40">
        <f t="shared" si="223"/>
        <v>0</v>
      </c>
      <c r="AH209" s="40">
        <f t="shared" si="224"/>
        <v>-289.15357662940812</v>
      </c>
      <c r="AI209" s="44">
        <f t="shared" si="225"/>
        <v>22264.825400464426</v>
      </c>
      <c r="AJ209" s="35">
        <f t="shared" si="211"/>
        <v>77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312.81978269189057</v>
      </c>
      <c r="AL209" s="57">
        <v>0</v>
      </c>
      <c r="AM209" s="57">
        <v>0</v>
      </c>
      <c r="AN209" s="61">
        <f t="shared" si="212"/>
        <v>77</v>
      </c>
      <c r="AO209" s="40">
        <f t="shared" si="226"/>
        <v>0</v>
      </c>
      <c r="AP209" s="40">
        <f t="shared" si="227"/>
        <v>0</v>
      </c>
      <c r="AQ209" s="44">
        <f t="shared" si="228"/>
        <v>24087.123267275572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46</v>
      </c>
      <c r="G210" s="35">
        <f>SUMIFS(WORKING!$AC$3:$AC$6802,WORKING!$A$3:$A$6802,Results!$D$3,WORKING!$B$3:$B$6802,Results!A210,WORKING!$C$3:$C$6802,Results!C210)/1000</f>
        <v>13599.2039</v>
      </c>
      <c r="H210" s="35">
        <f t="shared" si="213"/>
        <v>295.63486739130434</v>
      </c>
      <c r="I210" s="187">
        <v>46</v>
      </c>
      <c r="J210" s="212">
        <v>12742</v>
      </c>
      <c r="K210" s="217">
        <f t="shared" si="214"/>
        <v>277</v>
      </c>
      <c r="L210" s="34">
        <f t="shared" si="207"/>
        <v>46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301.5935858113811</v>
      </c>
      <c r="N210" s="57">
        <v>0</v>
      </c>
      <c r="O210" s="57">
        <v>0</v>
      </c>
      <c r="P210" s="61">
        <f t="shared" si="208"/>
        <v>46</v>
      </c>
      <c r="Q210" s="40">
        <f t="shared" si="215"/>
        <v>0</v>
      </c>
      <c r="R210" s="40">
        <f t="shared" si="216"/>
        <v>0</v>
      </c>
      <c r="S210" s="44">
        <f t="shared" si="217"/>
        <v>13873.304947323531</v>
      </c>
      <c r="T210" s="35">
        <f t="shared" si="218"/>
        <v>46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327.25740477706682</v>
      </c>
      <c r="V210" s="57">
        <v>0</v>
      </c>
      <c r="W210" s="57">
        <v>4</v>
      </c>
      <c r="X210" s="61">
        <f t="shared" si="209"/>
        <v>42</v>
      </c>
      <c r="Y210" s="40">
        <f t="shared" si="219"/>
        <v>0</v>
      </c>
      <c r="Z210" s="40">
        <f t="shared" si="220"/>
        <v>-1309.0296191082673</v>
      </c>
      <c r="AA210" s="44">
        <f t="shared" si="221"/>
        <v>13744.811000636806</v>
      </c>
      <c r="AB210" s="35">
        <f t="shared" si="222"/>
        <v>42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354.7732442624461</v>
      </c>
      <c r="AD210" s="57">
        <v>0</v>
      </c>
      <c r="AE210" s="57">
        <v>0</v>
      </c>
      <c r="AF210" s="61">
        <f t="shared" si="210"/>
        <v>42</v>
      </c>
      <c r="AG210" s="40">
        <f t="shared" si="223"/>
        <v>0</v>
      </c>
      <c r="AH210" s="40">
        <f t="shared" si="224"/>
        <v>0</v>
      </c>
      <c r="AI210" s="44">
        <f t="shared" si="225"/>
        <v>14900.476259022736</v>
      </c>
      <c r="AJ210" s="35">
        <f t="shared" si="211"/>
        <v>42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383.88318466278304</v>
      </c>
      <c r="AL210" s="57">
        <v>0</v>
      </c>
      <c r="AM210" s="57">
        <v>0</v>
      </c>
      <c r="AN210" s="61">
        <f t="shared" si="212"/>
        <v>42</v>
      </c>
      <c r="AO210" s="40">
        <f t="shared" si="226"/>
        <v>0</v>
      </c>
      <c r="AP210" s="40">
        <f t="shared" si="227"/>
        <v>0</v>
      </c>
      <c r="AQ210" s="44">
        <f t="shared" si="228"/>
        <v>16123.093755836888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129</v>
      </c>
      <c r="G211" s="35">
        <f>SUMIFS(WORKING!$AC$3:$AC$6802,WORKING!$A$3:$A$6802,Results!$D$3,WORKING!$B$3:$B$6802,Results!A211,WORKING!$C$3:$C$6802,Results!C211)/1000</f>
        <v>44291.39439999999</v>
      </c>
      <c r="H211" s="35">
        <f t="shared" si="213"/>
        <v>343.34414263565884</v>
      </c>
      <c r="I211" s="187">
        <v>129</v>
      </c>
      <c r="J211" s="212">
        <v>44247</v>
      </c>
      <c r="K211" s="217">
        <f t="shared" si="214"/>
        <v>343</v>
      </c>
      <c r="L211" s="34">
        <f t="shared" si="207"/>
        <v>129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373.83090648562688</v>
      </c>
      <c r="N211" s="57">
        <v>0</v>
      </c>
      <c r="O211" s="57">
        <v>0</v>
      </c>
      <c r="P211" s="61">
        <f t="shared" si="208"/>
        <v>129</v>
      </c>
      <c r="Q211" s="40">
        <f t="shared" si="215"/>
        <v>0</v>
      </c>
      <c r="R211" s="40">
        <f t="shared" si="216"/>
        <v>0</v>
      </c>
      <c r="S211" s="44">
        <f t="shared" si="217"/>
        <v>48224.18693664587</v>
      </c>
      <c r="T211" s="35">
        <f t="shared" si="218"/>
        <v>129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405.75837234779937</v>
      </c>
      <c r="V211" s="57">
        <v>0</v>
      </c>
      <c r="W211" s="57">
        <v>0</v>
      </c>
      <c r="X211" s="61">
        <f t="shared" si="209"/>
        <v>129</v>
      </c>
      <c r="Y211" s="40">
        <f t="shared" si="219"/>
        <v>0</v>
      </c>
      <c r="Z211" s="40">
        <f t="shared" si="220"/>
        <v>0</v>
      </c>
      <c r="AA211" s="44">
        <f t="shared" si="221"/>
        <v>52342.830032866121</v>
      </c>
      <c r="AB211" s="35">
        <f t="shared" si="222"/>
        <v>129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440.00111202059225</v>
      </c>
      <c r="AD211" s="57">
        <v>0</v>
      </c>
      <c r="AE211" s="57">
        <v>1</v>
      </c>
      <c r="AF211" s="61">
        <f t="shared" si="210"/>
        <v>128</v>
      </c>
      <c r="AG211" s="40">
        <f t="shared" si="223"/>
        <v>0</v>
      </c>
      <c r="AH211" s="40">
        <f t="shared" si="224"/>
        <v>-440.00111202059225</v>
      </c>
      <c r="AI211" s="44">
        <f t="shared" si="225"/>
        <v>56320.142338635807</v>
      </c>
      <c r="AJ211" s="35">
        <f t="shared" si="211"/>
        <v>128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476.24114627168115</v>
      </c>
      <c r="AL211" s="57">
        <v>0</v>
      </c>
      <c r="AM211" s="57">
        <v>0</v>
      </c>
      <c r="AN211" s="61">
        <f t="shared" si="212"/>
        <v>128</v>
      </c>
      <c r="AO211" s="40">
        <f t="shared" si="226"/>
        <v>0</v>
      </c>
      <c r="AP211" s="40">
        <f t="shared" si="227"/>
        <v>0</v>
      </c>
      <c r="AQ211" s="44">
        <f t="shared" si="228"/>
        <v>60958.866722775187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17</v>
      </c>
      <c r="G212" s="35">
        <f>SUMIFS(WORKING!$AC$3:$AC$6802,WORKING!$A$3:$A$6802,Results!$D$3,WORKING!$B$3:$B$6802,Results!A212,WORKING!$C$3:$C$6802,Results!C212)/1000</f>
        <v>7439.0477099999998</v>
      </c>
      <c r="H212" s="35">
        <f t="shared" si="213"/>
        <v>437.59104176470589</v>
      </c>
      <c r="I212" s="187">
        <v>18</v>
      </c>
      <c r="J212" s="212">
        <v>7614</v>
      </c>
      <c r="K212" s="217">
        <f t="shared" si="214"/>
        <v>423</v>
      </c>
      <c r="L212" s="34">
        <f t="shared" si="207"/>
        <v>18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460.99923618709386</v>
      </c>
      <c r="N212" s="57">
        <v>0</v>
      </c>
      <c r="O212" s="57">
        <v>0</v>
      </c>
      <c r="P212" s="61">
        <f t="shared" si="208"/>
        <v>18</v>
      </c>
      <c r="Q212" s="40">
        <f t="shared" si="215"/>
        <v>0</v>
      </c>
      <c r="R212" s="40">
        <f t="shared" si="216"/>
        <v>0</v>
      </c>
      <c r="S212" s="44">
        <f t="shared" si="217"/>
        <v>8297.986251367689</v>
      </c>
      <c r="T212" s="35">
        <f t="shared" si="218"/>
        <v>18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500.36373338464284</v>
      </c>
      <c r="V212" s="57">
        <v>0</v>
      </c>
      <c r="W212" s="57">
        <v>0</v>
      </c>
      <c r="X212" s="61">
        <f t="shared" si="209"/>
        <v>18</v>
      </c>
      <c r="Y212" s="40">
        <f t="shared" si="219"/>
        <v>0</v>
      </c>
      <c r="Z212" s="40">
        <f t="shared" si="220"/>
        <v>0</v>
      </c>
      <c r="AA212" s="44">
        <f t="shared" si="221"/>
        <v>9006.5472009235709</v>
      </c>
      <c r="AB212" s="35">
        <f t="shared" si="222"/>
        <v>18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542.58212014328956</v>
      </c>
      <c r="AD212" s="57">
        <v>0</v>
      </c>
      <c r="AE212" s="57">
        <v>0</v>
      </c>
      <c r="AF212" s="61">
        <f t="shared" si="210"/>
        <v>18</v>
      </c>
      <c r="AG212" s="40">
        <f t="shared" si="223"/>
        <v>0</v>
      </c>
      <c r="AH212" s="40">
        <f t="shared" si="224"/>
        <v>0</v>
      </c>
      <c r="AI212" s="44">
        <f t="shared" si="225"/>
        <v>9766.4781625792129</v>
      </c>
      <c r="AJ212" s="35">
        <f t="shared" si="211"/>
        <v>18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587.26222060372538</v>
      </c>
      <c r="AL212" s="57">
        <v>0</v>
      </c>
      <c r="AM212" s="57">
        <v>0</v>
      </c>
      <c r="AN212" s="61">
        <f t="shared" si="212"/>
        <v>18</v>
      </c>
      <c r="AO212" s="40">
        <f t="shared" si="226"/>
        <v>0</v>
      </c>
      <c r="AP212" s="40">
        <f t="shared" si="227"/>
        <v>0</v>
      </c>
      <c r="AQ212" s="44">
        <f t="shared" si="228"/>
        <v>10570.719970867056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66</v>
      </c>
      <c r="G213" s="35">
        <f>SUMIFS(WORKING!$AC$3:$AC$6802,WORKING!$A$3:$A$6802,Results!$D$3,WORKING!$B$3:$B$6802,Results!A213,WORKING!$C$3:$C$6802,Results!C213)/1000</f>
        <v>30878.962079999998</v>
      </c>
      <c r="H213" s="35">
        <f t="shared" si="213"/>
        <v>467.86306181818179</v>
      </c>
      <c r="I213" s="187">
        <v>66</v>
      </c>
      <c r="J213" s="212">
        <v>31680</v>
      </c>
      <c r="K213" s="217">
        <f t="shared" si="214"/>
        <v>480</v>
      </c>
      <c r="L213" s="34">
        <f t="shared" si="207"/>
        <v>66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523.43745027346279</v>
      </c>
      <c r="N213" s="57">
        <v>0</v>
      </c>
      <c r="O213" s="57">
        <v>0</v>
      </c>
      <c r="P213" s="61">
        <f t="shared" si="208"/>
        <v>66</v>
      </c>
      <c r="Q213" s="40">
        <f t="shared" si="215"/>
        <v>0</v>
      </c>
      <c r="R213" s="40">
        <f t="shared" si="216"/>
        <v>0</v>
      </c>
      <c r="S213" s="44">
        <f t="shared" si="217"/>
        <v>34546.871718048547</v>
      </c>
      <c r="T213" s="35">
        <f t="shared" si="218"/>
        <v>66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568.23267796091818</v>
      </c>
      <c r="V213" s="57">
        <v>0</v>
      </c>
      <c r="W213" s="57">
        <v>0</v>
      </c>
      <c r="X213" s="61">
        <f t="shared" si="209"/>
        <v>66</v>
      </c>
      <c r="Y213" s="40">
        <f t="shared" si="219"/>
        <v>0</v>
      </c>
      <c r="Z213" s="40">
        <f t="shared" si="220"/>
        <v>0</v>
      </c>
      <c r="AA213" s="44">
        <f t="shared" si="221"/>
        <v>37503.356745420599</v>
      </c>
      <c r="AB213" s="35">
        <f t="shared" si="222"/>
        <v>66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616.28503584375835</v>
      </c>
      <c r="AD213" s="57">
        <v>0</v>
      </c>
      <c r="AE213" s="57">
        <v>0</v>
      </c>
      <c r="AF213" s="61">
        <f t="shared" si="210"/>
        <v>66</v>
      </c>
      <c r="AG213" s="40">
        <f t="shared" si="223"/>
        <v>0</v>
      </c>
      <c r="AH213" s="40">
        <f t="shared" si="224"/>
        <v>0</v>
      </c>
      <c r="AI213" s="44">
        <f t="shared" si="225"/>
        <v>40674.812365688049</v>
      </c>
      <c r="AJ213" s="35">
        <f t="shared" si="211"/>
        <v>66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667.15063866360686</v>
      </c>
      <c r="AL213" s="57">
        <v>0</v>
      </c>
      <c r="AM213" s="57">
        <v>0</v>
      </c>
      <c r="AN213" s="61">
        <f t="shared" si="212"/>
        <v>66</v>
      </c>
      <c r="AO213" s="40">
        <f t="shared" si="226"/>
        <v>0</v>
      </c>
      <c r="AP213" s="40">
        <f t="shared" si="227"/>
        <v>0</v>
      </c>
      <c r="AQ213" s="44">
        <f t="shared" si="228"/>
        <v>44031.942151798052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15</v>
      </c>
      <c r="G214" s="35">
        <f>SUMIFS(WORKING!$AC$3:$AC$6802,WORKING!$A$3:$A$6802,Results!$D$3,WORKING!$B$3:$B$6802,Results!A214,WORKING!$C$3:$C$6802,Results!C214)/1000</f>
        <v>9496.6758200000004</v>
      </c>
      <c r="H214" s="35">
        <f t="shared" si="213"/>
        <v>633.11172133333332</v>
      </c>
      <c r="I214" s="187">
        <v>14</v>
      </c>
      <c r="J214" s="212">
        <v>8091</v>
      </c>
      <c r="K214" s="217">
        <f t="shared" si="214"/>
        <v>577.92857142857144</v>
      </c>
      <c r="L214" s="34">
        <f t="shared" si="207"/>
        <v>14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630.87471843872129</v>
      </c>
      <c r="N214" s="57">
        <v>0</v>
      </c>
      <c r="O214" s="57">
        <v>0</v>
      </c>
      <c r="P214" s="61">
        <f t="shared" si="208"/>
        <v>14</v>
      </c>
      <c r="Q214" s="40">
        <f t="shared" si="215"/>
        <v>0</v>
      </c>
      <c r="R214" s="40">
        <f t="shared" si="216"/>
        <v>0</v>
      </c>
      <c r="S214" s="44">
        <f t="shared" si="217"/>
        <v>8832.2460581420983</v>
      </c>
      <c r="T214" s="35">
        <f t="shared" si="218"/>
        <v>14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684.83127993306334</v>
      </c>
      <c r="V214" s="57">
        <v>0</v>
      </c>
      <c r="W214" s="57">
        <v>0</v>
      </c>
      <c r="X214" s="61">
        <f t="shared" si="209"/>
        <v>14</v>
      </c>
      <c r="Y214" s="40">
        <f t="shared" si="219"/>
        <v>0</v>
      </c>
      <c r="Z214" s="40">
        <f t="shared" si="220"/>
        <v>0</v>
      </c>
      <c r="AA214" s="44">
        <f t="shared" si="221"/>
        <v>9587.6379190628868</v>
      </c>
      <c r="AB214" s="35">
        <f t="shared" si="222"/>
        <v>14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742.70779322890428</v>
      </c>
      <c r="AD214" s="57">
        <v>0</v>
      </c>
      <c r="AE214" s="57">
        <v>0</v>
      </c>
      <c r="AF214" s="61">
        <f t="shared" si="210"/>
        <v>14</v>
      </c>
      <c r="AG214" s="40">
        <f t="shared" si="223"/>
        <v>0</v>
      </c>
      <c r="AH214" s="40">
        <f t="shared" si="224"/>
        <v>0</v>
      </c>
      <c r="AI214" s="44">
        <f t="shared" si="225"/>
        <v>10397.909105204661</v>
      </c>
      <c r="AJ214" s="35">
        <f t="shared" si="211"/>
        <v>14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803.96860062708311</v>
      </c>
      <c r="AL214" s="57">
        <v>0</v>
      </c>
      <c r="AM214" s="57">
        <v>0</v>
      </c>
      <c r="AN214" s="61">
        <f t="shared" si="212"/>
        <v>14</v>
      </c>
      <c r="AO214" s="40">
        <f t="shared" si="226"/>
        <v>0</v>
      </c>
      <c r="AP214" s="40">
        <f t="shared" si="227"/>
        <v>0</v>
      </c>
      <c r="AQ214" s="44">
        <f t="shared" si="228"/>
        <v>11255.560408779163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74</v>
      </c>
      <c r="G215" s="35">
        <f>SUMIFS(WORKING!$AC$3:$AC$6802,WORKING!$A$3:$A$6802,Results!$D$3,WORKING!$B$3:$B$6802,Results!A215,WORKING!$C$3:$C$6802,Results!C215)/1000</f>
        <v>49688.446490000017</v>
      </c>
      <c r="H215" s="35">
        <f t="shared" si="213"/>
        <v>671.46549310810838</v>
      </c>
      <c r="I215" s="187">
        <v>74</v>
      </c>
      <c r="J215" s="212">
        <v>51800</v>
      </c>
      <c r="K215" s="217">
        <f t="shared" si="214"/>
        <v>700</v>
      </c>
      <c r="L215" s="34">
        <f t="shared" si="207"/>
        <v>74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764.26515565571231</v>
      </c>
      <c r="N215" s="57">
        <v>0</v>
      </c>
      <c r="O215" s="57">
        <v>0</v>
      </c>
      <c r="P215" s="61">
        <f t="shared" si="208"/>
        <v>74</v>
      </c>
      <c r="Q215" s="40">
        <f t="shared" si="215"/>
        <v>0</v>
      </c>
      <c r="R215" s="40">
        <f t="shared" si="216"/>
        <v>0</v>
      </c>
      <c r="S215" s="44">
        <f t="shared" si="217"/>
        <v>56555.621518522712</v>
      </c>
      <c r="T215" s="35">
        <f t="shared" si="218"/>
        <v>74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829.77736872001014</v>
      </c>
      <c r="V215" s="57">
        <v>0</v>
      </c>
      <c r="W215" s="57">
        <v>0</v>
      </c>
      <c r="X215" s="61">
        <f t="shared" si="209"/>
        <v>74</v>
      </c>
      <c r="Y215" s="40">
        <f t="shared" si="219"/>
        <v>0</v>
      </c>
      <c r="Z215" s="40">
        <f t="shared" si="220"/>
        <v>0</v>
      </c>
      <c r="AA215" s="44">
        <f t="shared" si="221"/>
        <v>61403.525285280753</v>
      </c>
      <c r="AB215" s="35">
        <f t="shared" si="222"/>
        <v>74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900.06327008102562</v>
      </c>
      <c r="AD215" s="57">
        <v>0</v>
      </c>
      <c r="AE215" s="57">
        <v>0</v>
      </c>
      <c r="AF215" s="61">
        <f t="shared" si="210"/>
        <v>74</v>
      </c>
      <c r="AG215" s="40">
        <f t="shared" si="223"/>
        <v>0</v>
      </c>
      <c r="AH215" s="40">
        <f t="shared" si="224"/>
        <v>0</v>
      </c>
      <c r="AI215" s="44">
        <f t="shared" si="225"/>
        <v>66604.681985995892</v>
      </c>
      <c r="AJ215" s="35">
        <f t="shared" si="211"/>
        <v>74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974.47613367954261</v>
      </c>
      <c r="AL215" s="57">
        <v>0</v>
      </c>
      <c r="AM215" s="57">
        <v>0</v>
      </c>
      <c r="AN215" s="61">
        <f t="shared" si="212"/>
        <v>74</v>
      </c>
      <c r="AO215" s="40">
        <f t="shared" si="226"/>
        <v>0</v>
      </c>
      <c r="AP215" s="40">
        <f t="shared" si="227"/>
        <v>0</v>
      </c>
      <c r="AQ215" s="44">
        <f t="shared" si="228"/>
        <v>72111.233892286153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20</v>
      </c>
      <c r="G216" s="35">
        <f>SUMIFS(WORKING!$AC$3:$AC$6802,WORKING!$A$3:$A$6802,Results!$D$3,WORKING!$B$3:$B$6802,Results!A216,WORKING!$C$3:$C$6802,Results!C216)/1000</f>
        <v>19055.512340000001</v>
      </c>
      <c r="H216" s="35">
        <f t="shared" si="213"/>
        <v>952.77561700000001</v>
      </c>
      <c r="I216" s="187">
        <v>20</v>
      </c>
      <c r="J216" s="212">
        <v>17800</v>
      </c>
      <c r="K216" s="217">
        <f t="shared" si="214"/>
        <v>890</v>
      </c>
      <c r="L216" s="34">
        <f t="shared" si="207"/>
        <v>20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932.70030031887779</v>
      </c>
      <c r="N216" s="57">
        <v>0</v>
      </c>
      <c r="O216" s="57">
        <v>0</v>
      </c>
      <c r="P216" s="61">
        <f t="shared" si="208"/>
        <v>20</v>
      </c>
      <c r="Q216" s="40">
        <f t="shared" si="215"/>
        <v>0</v>
      </c>
      <c r="R216" s="40">
        <f t="shared" si="216"/>
        <v>0</v>
      </c>
      <c r="S216" s="44">
        <f t="shared" si="217"/>
        <v>18654.006006377556</v>
      </c>
      <c r="T216" s="35">
        <f t="shared" si="218"/>
        <v>20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1002.997314713141</v>
      </c>
      <c r="V216" s="57">
        <v>0</v>
      </c>
      <c r="W216" s="57">
        <v>0</v>
      </c>
      <c r="X216" s="61">
        <f t="shared" si="209"/>
        <v>20</v>
      </c>
      <c r="Y216" s="40">
        <f t="shared" si="219"/>
        <v>0</v>
      </c>
      <c r="Z216" s="40">
        <f t="shared" si="220"/>
        <v>0</v>
      </c>
      <c r="AA216" s="44">
        <f t="shared" si="221"/>
        <v>20059.94629426282</v>
      </c>
      <c r="AB216" s="35">
        <f t="shared" si="222"/>
        <v>20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1077.575029155227</v>
      </c>
      <c r="AD216" s="57">
        <v>0</v>
      </c>
      <c r="AE216" s="57">
        <v>0</v>
      </c>
      <c r="AF216" s="61">
        <f t="shared" si="210"/>
        <v>20</v>
      </c>
      <c r="AG216" s="40">
        <f t="shared" si="223"/>
        <v>0</v>
      </c>
      <c r="AH216" s="40">
        <f t="shared" si="224"/>
        <v>0</v>
      </c>
      <c r="AI216" s="44">
        <f t="shared" si="225"/>
        <v>21551.500583104538</v>
      </c>
      <c r="AJ216" s="35">
        <f t="shared" si="211"/>
        <v>20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1155.5115599245444</v>
      </c>
      <c r="AL216" s="57">
        <v>0</v>
      </c>
      <c r="AM216" s="57">
        <v>0</v>
      </c>
      <c r="AN216" s="61">
        <f t="shared" si="212"/>
        <v>20</v>
      </c>
      <c r="AO216" s="40">
        <f t="shared" si="226"/>
        <v>0</v>
      </c>
      <c r="AP216" s="40">
        <f t="shared" si="227"/>
        <v>0</v>
      </c>
      <c r="AQ216" s="44">
        <f t="shared" si="228"/>
        <v>23110.231198490888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3</v>
      </c>
      <c r="G217" s="35">
        <f>SUMIFS(WORKING!$AC$3:$AC$6802,WORKING!$A$3:$A$6802,Results!$D$3,WORKING!$B$3:$B$6802,Results!A217,WORKING!$C$3:$C$6802,Results!C217)/1000</f>
        <v>2644.24512</v>
      </c>
      <c r="H217" s="35">
        <f t="shared" si="213"/>
        <v>881.41503999999998</v>
      </c>
      <c r="I217" s="187">
        <v>3</v>
      </c>
      <c r="J217" s="212">
        <v>3159</v>
      </c>
      <c r="K217" s="217">
        <f t="shared" si="214"/>
        <v>1053</v>
      </c>
      <c r="L217" s="34">
        <f t="shared" si="207"/>
        <v>3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1103.8924058758032</v>
      </c>
      <c r="N217" s="57">
        <v>0</v>
      </c>
      <c r="O217" s="57">
        <v>0</v>
      </c>
      <c r="P217" s="61">
        <f t="shared" si="208"/>
        <v>3</v>
      </c>
      <c r="Q217" s="40">
        <f t="shared" si="215"/>
        <v>0</v>
      </c>
      <c r="R217" s="40">
        <f t="shared" si="216"/>
        <v>0</v>
      </c>
      <c r="S217" s="44">
        <f t="shared" si="217"/>
        <v>3311.6772176274098</v>
      </c>
      <c r="T217" s="35">
        <f t="shared" si="218"/>
        <v>3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1187.4919217349639</v>
      </c>
      <c r="V217" s="57">
        <v>0</v>
      </c>
      <c r="W217" s="57">
        <v>0</v>
      </c>
      <c r="X217" s="61">
        <f t="shared" si="209"/>
        <v>3</v>
      </c>
      <c r="Y217" s="40">
        <f t="shared" si="219"/>
        <v>0</v>
      </c>
      <c r="Z217" s="40">
        <f t="shared" si="220"/>
        <v>0</v>
      </c>
      <c r="AA217" s="44">
        <f t="shared" si="221"/>
        <v>3562.4757652048916</v>
      </c>
      <c r="AB217" s="35">
        <f t="shared" si="222"/>
        <v>3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1276.2174453795622</v>
      </c>
      <c r="AD217" s="57">
        <v>0</v>
      </c>
      <c r="AE217" s="57">
        <v>0</v>
      </c>
      <c r="AF217" s="61">
        <f t="shared" si="210"/>
        <v>3</v>
      </c>
      <c r="AG217" s="40">
        <f t="shared" si="223"/>
        <v>0</v>
      </c>
      <c r="AH217" s="40">
        <f t="shared" si="224"/>
        <v>0</v>
      </c>
      <c r="AI217" s="44">
        <f t="shared" si="225"/>
        <v>3828.6523361386862</v>
      </c>
      <c r="AJ217" s="35">
        <f t="shared" si="211"/>
        <v>3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1368.9819349263082</v>
      </c>
      <c r="AL217" s="57">
        <v>0</v>
      </c>
      <c r="AM217" s="57">
        <v>0</v>
      </c>
      <c r="AN217" s="61">
        <f t="shared" si="212"/>
        <v>3</v>
      </c>
      <c r="AO217" s="40">
        <f t="shared" si="226"/>
        <v>0</v>
      </c>
      <c r="AP217" s="40">
        <f t="shared" si="227"/>
        <v>0</v>
      </c>
      <c r="AQ217" s="44">
        <f t="shared" si="228"/>
        <v>4106.9458047789249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1</v>
      </c>
      <c r="G218" s="35">
        <f>SUMIFS(WORKING!$AC$3:$AC$6802,WORKING!$A$3:$A$6802,Results!$D$3,WORKING!$B$3:$B$6802,Results!A218,WORKING!$C$3:$C$6802,Results!C218)/1000</f>
        <v>1535.0908300000001</v>
      </c>
      <c r="H218" s="35">
        <f t="shared" si="213"/>
        <v>1535.0908300000001</v>
      </c>
      <c r="I218" s="187">
        <v>1</v>
      </c>
      <c r="J218" s="212">
        <v>1407</v>
      </c>
      <c r="K218" s="217">
        <f t="shared" si="214"/>
        <v>1407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1475.2046894467064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1475.2046894467064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1587.1428422205713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1587.1428422205713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1705.9639136098165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1705.9639136098165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1830.2174547061047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1830.2174547061047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500</v>
      </c>
      <c r="G224" s="41">
        <f>SUM(G204:G223)</f>
        <v>202411.87888</v>
      </c>
      <c r="H224" s="41">
        <f>IFERROR(G224/F224,0)</f>
        <v>404.82375776000003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500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202856</v>
      </c>
      <c r="K224" s="41">
        <f>IFERROR(J224/I224,"")</f>
        <v>405.71199999999999</v>
      </c>
      <c r="L224" s="41">
        <f>SUM(L204:L223)</f>
        <v>500</v>
      </c>
      <c r="M224" s="41">
        <f>IFERROR(S224/P224,0)</f>
        <v>440.47846428544347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500</v>
      </c>
      <c r="Q224" s="41">
        <f t="shared" si="230"/>
        <v>0</v>
      </c>
      <c r="R224" s="41">
        <f t="shared" si="230"/>
        <v>0</v>
      </c>
      <c r="S224" s="45">
        <f t="shared" si="230"/>
        <v>220239.23214272174</v>
      </c>
      <c r="T224" s="41">
        <f t="shared" si="230"/>
        <v>500</v>
      </c>
      <c r="U224" s="41">
        <f>IFERROR(AA224/X224,0)</f>
        <v>479.72257177762799</v>
      </c>
      <c r="V224" s="41">
        <f t="shared" ref="V224:AB224" si="231">SUM(V204:V223)</f>
        <v>0</v>
      </c>
      <c r="W224" s="41">
        <f t="shared" si="231"/>
        <v>6</v>
      </c>
      <c r="X224" s="41">
        <f t="shared" si="231"/>
        <v>494</v>
      </c>
      <c r="Y224" s="41">
        <f t="shared" si="231"/>
        <v>0</v>
      </c>
      <c r="Z224" s="41">
        <f t="shared" si="231"/>
        <v>-1842.5854937258591</v>
      </c>
      <c r="AA224" s="45">
        <f t="shared" si="231"/>
        <v>236982.95045814823</v>
      </c>
      <c r="AB224" s="41">
        <f t="shared" si="231"/>
        <v>494</v>
      </c>
      <c r="AC224" s="41">
        <f>IFERROR(AI224/AF224,0)</f>
        <v>521.00714380746388</v>
      </c>
      <c r="AD224" s="41">
        <f t="shared" ref="AD224:AJ224" si="232">SUM(AD204:AD223)</f>
        <v>0</v>
      </c>
      <c r="AE224" s="41">
        <f t="shared" si="232"/>
        <v>3</v>
      </c>
      <c r="AF224" s="41">
        <f t="shared" si="232"/>
        <v>491</v>
      </c>
      <c r="AG224" s="41">
        <f t="shared" si="232"/>
        <v>0</v>
      </c>
      <c r="AH224" s="41">
        <f t="shared" si="232"/>
        <v>-928.32099094288219</v>
      </c>
      <c r="AI224" s="45">
        <f t="shared" si="232"/>
        <v>255814.50760946478</v>
      </c>
      <c r="AJ224" s="41">
        <f t="shared" si="232"/>
        <v>491</v>
      </c>
      <c r="AK224" s="41">
        <f>IFERROR(AQ224/AN224,0)</f>
        <v>563.3956948641686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491</v>
      </c>
      <c r="AO224" s="41">
        <f t="shared" si="233"/>
        <v>0</v>
      </c>
      <c r="AP224" s="41">
        <f t="shared" si="233"/>
        <v>0</v>
      </c>
      <c r="AQ224" s="45">
        <f t="shared" si="233"/>
        <v>276627.28617830679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220453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196853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184174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198171.22400000002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213.76785727826064</v>
      </c>
      <c r="T226" s="39"/>
      <c r="U226" s="39"/>
      <c r="V226" s="53"/>
      <c r="W226" s="53"/>
      <c r="X226" s="110"/>
      <c r="Y226" s="39"/>
      <c r="Z226" s="39"/>
      <c r="AA226" s="54">
        <f>AA225-AA224</f>
        <v>-40129.950458148232</v>
      </c>
      <c r="AB226" s="39"/>
      <c r="AC226" s="53"/>
      <c r="AD226" s="53"/>
      <c r="AE226" s="110"/>
      <c r="AF226" s="39"/>
      <c r="AG226" s="39"/>
      <c r="AH226" s="39"/>
      <c r="AI226" s="54">
        <f>AI225-AI224</f>
        <v>-71640.507609464781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-78456.062178306776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Chemicals and Waste Management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5</v>
      </c>
      <c r="G235" s="35">
        <f>SUMIFS(WORKING!$AC$3:$AC$6802,WORKING!$A$3:$A$6802,Results!$D$3,WORKING!$B$3:$B$6802,Results!A235,WORKING!$C$3:$C$6802,Results!C235)/1000</f>
        <v>945.27266000000009</v>
      </c>
      <c r="H235" s="35">
        <f t="shared" si="240"/>
        <v>189.05453200000002</v>
      </c>
      <c r="I235" s="187">
        <v>5</v>
      </c>
      <c r="J235" s="212">
        <v>835</v>
      </c>
      <c r="K235" s="217">
        <f t="shared" si="241"/>
        <v>167</v>
      </c>
      <c r="L235" s="34">
        <f t="shared" si="234"/>
        <v>5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181.23714412400196</v>
      </c>
      <c r="N235" s="57">
        <v>0</v>
      </c>
      <c r="O235" s="57">
        <v>0</v>
      </c>
      <c r="P235" s="61">
        <f t="shared" si="235"/>
        <v>5</v>
      </c>
      <c r="Q235" s="40">
        <f t="shared" si="242"/>
        <v>0</v>
      </c>
      <c r="R235" s="40">
        <f t="shared" si="243"/>
        <v>0</v>
      </c>
      <c r="S235" s="44">
        <f t="shared" si="244"/>
        <v>906.18572062000976</v>
      </c>
      <c r="T235" s="35">
        <f t="shared" si="245"/>
        <v>5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196.47394823487133</v>
      </c>
      <c r="V235" s="57">
        <v>0</v>
      </c>
      <c r="W235" s="57">
        <v>0</v>
      </c>
      <c r="X235" s="61">
        <f t="shared" si="236"/>
        <v>5</v>
      </c>
      <c r="Y235" s="40">
        <f t="shared" si="246"/>
        <v>0</v>
      </c>
      <c r="Z235" s="40">
        <f t="shared" si="247"/>
        <v>0</v>
      </c>
      <c r="AA235" s="44">
        <f t="shared" si="248"/>
        <v>982.3697411743567</v>
      </c>
      <c r="AB235" s="35">
        <f t="shared" si="249"/>
        <v>5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212.7928710595707</v>
      </c>
      <c r="AD235" s="57">
        <v>0</v>
      </c>
      <c r="AE235" s="57">
        <v>0</v>
      </c>
      <c r="AF235" s="61">
        <f t="shared" si="237"/>
        <v>5</v>
      </c>
      <c r="AG235" s="40">
        <f t="shared" si="250"/>
        <v>0</v>
      </c>
      <c r="AH235" s="40">
        <f t="shared" si="251"/>
        <v>0</v>
      </c>
      <c r="AI235" s="44">
        <f t="shared" si="252"/>
        <v>1063.9643552978534</v>
      </c>
      <c r="AJ235" s="35">
        <f t="shared" si="238"/>
        <v>5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230.03648117157238</v>
      </c>
      <c r="AL235" s="57">
        <v>0</v>
      </c>
      <c r="AM235" s="57">
        <v>0</v>
      </c>
      <c r="AN235" s="61">
        <f t="shared" si="239"/>
        <v>5</v>
      </c>
      <c r="AO235" s="40">
        <f t="shared" si="253"/>
        <v>0</v>
      </c>
      <c r="AP235" s="40">
        <f t="shared" si="254"/>
        <v>0</v>
      </c>
      <c r="AQ235" s="44">
        <f t="shared" si="255"/>
        <v>1150.1824058578618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>
        <v>0</v>
      </c>
      <c r="J236" s="212">
        <v>0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9</v>
      </c>
      <c r="G237" s="35">
        <f>SUMIFS(WORKING!$AC$3:$AC$6802,WORKING!$A$3:$A$6802,Results!$D$3,WORKING!$B$3:$B$6802,Results!A237,WORKING!$C$3:$C$6802,Results!C237)/1000</f>
        <v>2117.5506700000001</v>
      </c>
      <c r="H237" s="35">
        <f t="shared" si="240"/>
        <v>235.2834077777778</v>
      </c>
      <c r="I237" s="187">
        <v>9</v>
      </c>
      <c r="J237" s="212">
        <v>1989</v>
      </c>
      <c r="K237" s="217">
        <f t="shared" si="241"/>
        <v>221</v>
      </c>
      <c r="L237" s="34">
        <f t="shared" si="234"/>
        <v>9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240.20757412132866</v>
      </c>
      <c r="N237" s="57">
        <v>0</v>
      </c>
      <c r="O237" s="57">
        <v>0</v>
      </c>
      <c r="P237" s="61">
        <f t="shared" si="235"/>
        <v>9</v>
      </c>
      <c r="Q237" s="40">
        <f t="shared" si="242"/>
        <v>0</v>
      </c>
      <c r="R237" s="40">
        <f t="shared" si="243"/>
        <v>0</v>
      </c>
      <c r="S237" s="44">
        <f t="shared" si="244"/>
        <v>2161.8681670919577</v>
      </c>
      <c r="T237" s="35">
        <f t="shared" si="245"/>
        <v>9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260.52036153519612</v>
      </c>
      <c r="V237" s="57">
        <v>0</v>
      </c>
      <c r="W237" s="57">
        <v>0</v>
      </c>
      <c r="X237" s="61">
        <f t="shared" si="236"/>
        <v>9</v>
      </c>
      <c r="Y237" s="40">
        <f t="shared" si="246"/>
        <v>0</v>
      </c>
      <c r="Z237" s="40">
        <f t="shared" si="247"/>
        <v>0</v>
      </c>
      <c r="AA237" s="44">
        <f t="shared" si="248"/>
        <v>2344.683253816765</v>
      </c>
      <c r="AB237" s="35">
        <f t="shared" si="249"/>
        <v>9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282.28683437805211</v>
      </c>
      <c r="AD237" s="57">
        <v>0</v>
      </c>
      <c r="AE237" s="57">
        <v>0</v>
      </c>
      <c r="AF237" s="61">
        <f t="shared" si="237"/>
        <v>9</v>
      </c>
      <c r="AG237" s="40">
        <f t="shared" si="250"/>
        <v>0</v>
      </c>
      <c r="AH237" s="40">
        <f t="shared" si="251"/>
        <v>0</v>
      </c>
      <c r="AI237" s="44">
        <f t="shared" si="252"/>
        <v>2540.5815094024688</v>
      </c>
      <c r="AJ237" s="35">
        <f t="shared" si="238"/>
        <v>9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305.29970662965559</v>
      </c>
      <c r="AL237" s="57">
        <v>0</v>
      </c>
      <c r="AM237" s="57">
        <v>0</v>
      </c>
      <c r="AN237" s="61">
        <f t="shared" si="239"/>
        <v>9</v>
      </c>
      <c r="AO237" s="40">
        <f t="shared" si="253"/>
        <v>0</v>
      </c>
      <c r="AP237" s="40">
        <f t="shared" si="254"/>
        <v>0</v>
      </c>
      <c r="AQ237" s="44">
        <f t="shared" si="255"/>
        <v>2747.6973596669004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7</v>
      </c>
      <c r="G238" s="35">
        <f>SUMIFS(WORKING!$AC$3:$AC$6802,WORKING!$A$3:$A$6802,Results!$D$3,WORKING!$B$3:$B$6802,Results!A238,WORKING!$C$3:$C$6802,Results!C238)/1000</f>
        <v>1993.8935299999998</v>
      </c>
      <c r="H238" s="35">
        <f t="shared" si="240"/>
        <v>284.84193285714281</v>
      </c>
      <c r="I238" s="187">
        <v>7</v>
      </c>
      <c r="J238" s="212">
        <v>1995</v>
      </c>
      <c r="K238" s="217">
        <f t="shared" si="241"/>
        <v>285</v>
      </c>
      <c r="L238" s="34">
        <f t="shared" si="234"/>
        <v>7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310.3623830728784</v>
      </c>
      <c r="N238" s="57">
        <v>0</v>
      </c>
      <c r="O238" s="57">
        <v>0</v>
      </c>
      <c r="P238" s="61">
        <f t="shared" si="235"/>
        <v>7</v>
      </c>
      <c r="Q238" s="40">
        <f t="shared" si="242"/>
        <v>0</v>
      </c>
      <c r="R238" s="40">
        <f t="shared" si="243"/>
        <v>0</v>
      </c>
      <c r="S238" s="44">
        <f t="shared" si="244"/>
        <v>2172.5366815101488</v>
      </c>
      <c r="T238" s="35">
        <f t="shared" si="245"/>
        <v>7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336.78860763760719</v>
      </c>
      <c r="V238" s="57">
        <v>0</v>
      </c>
      <c r="W238" s="57">
        <v>1</v>
      </c>
      <c r="X238" s="61">
        <f t="shared" si="236"/>
        <v>6</v>
      </c>
      <c r="Y238" s="40">
        <f t="shared" si="246"/>
        <v>0</v>
      </c>
      <c r="Z238" s="40">
        <f t="shared" si="247"/>
        <v>-336.78860763760719</v>
      </c>
      <c r="AA238" s="44">
        <f t="shared" si="248"/>
        <v>2020.7316458256432</v>
      </c>
      <c r="AB238" s="35">
        <f t="shared" si="249"/>
        <v>6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365.12352071957184</v>
      </c>
      <c r="AD238" s="57">
        <v>0</v>
      </c>
      <c r="AE238" s="57">
        <v>0</v>
      </c>
      <c r="AF238" s="61">
        <f t="shared" si="237"/>
        <v>6</v>
      </c>
      <c r="AG238" s="40">
        <f t="shared" si="250"/>
        <v>0</v>
      </c>
      <c r="AH238" s="40">
        <f t="shared" si="251"/>
        <v>0</v>
      </c>
      <c r="AI238" s="44">
        <f t="shared" si="252"/>
        <v>2190.7411243174311</v>
      </c>
      <c r="AJ238" s="35">
        <f t="shared" si="238"/>
        <v>6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395.10206140696158</v>
      </c>
      <c r="AL238" s="57">
        <v>0</v>
      </c>
      <c r="AM238" s="57">
        <v>0</v>
      </c>
      <c r="AN238" s="61">
        <f t="shared" si="239"/>
        <v>6</v>
      </c>
      <c r="AO238" s="40">
        <f t="shared" si="253"/>
        <v>0</v>
      </c>
      <c r="AP238" s="40">
        <f t="shared" si="254"/>
        <v>0</v>
      </c>
      <c r="AQ238" s="44">
        <f t="shared" si="255"/>
        <v>2370.6123684417694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4</v>
      </c>
      <c r="G239" s="35">
        <f>SUMIFS(WORKING!$AC$3:$AC$6802,WORKING!$A$3:$A$6802,Results!$D$3,WORKING!$B$3:$B$6802,Results!A239,WORKING!$C$3:$C$6802,Results!C239)/1000</f>
        <v>1293.53331</v>
      </c>
      <c r="H239" s="35">
        <f t="shared" si="240"/>
        <v>323.38332750000001</v>
      </c>
      <c r="I239" s="187">
        <v>4</v>
      </c>
      <c r="J239" s="212">
        <v>1372</v>
      </c>
      <c r="K239" s="217">
        <f t="shared" si="241"/>
        <v>343</v>
      </c>
      <c r="L239" s="34">
        <f t="shared" si="234"/>
        <v>4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373.65442614248076</v>
      </c>
      <c r="N239" s="57">
        <v>0</v>
      </c>
      <c r="O239" s="57">
        <v>0</v>
      </c>
      <c r="P239" s="61">
        <f t="shared" si="235"/>
        <v>4</v>
      </c>
      <c r="Q239" s="40">
        <f t="shared" si="242"/>
        <v>0</v>
      </c>
      <c r="R239" s="40">
        <f t="shared" si="243"/>
        <v>0</v>
      </c>
      <c r="S239" s="44">
        <f t="shared" si="244"/>
        <v>1494.617704569923</v>
      </c>
      <c r="T239" s="35">
        <f t="shared" si="245"/>
        <v>4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405.51352082605126</v>
      </c>
      <c r="V239" s="57">
        <v>0</v>
      </c>
      <c r="W239" s="57">
        <v>0</v>
      </c>
      <c r="X239" s="61">
        <f t="shared" si="236"/>
        <v>4</v>
      </c>
      <c r="Y239" s="40">
        <f t="shared" si="246"/>
        <v>0</v>
      </c>
      <c r="Z239" s="40">
        <f t="shared" si="247"/>
        <v>0</v>
      </c>
      <c r="AA239" s="44">
        <f t="shared" si="248"/>
        <v>1622.0540833042051</v>
      </c>
      <c r="AB239" s="35">
        <f t="shared" si="249"/>
        <v>4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439.67774514926572</v>
      </c>
      <c r="AD239" s="57">
        <v>0</v>
      </c>
      <c r="AE239" s="57">
        <v>0</v>
      </c>
      <c r="AF239" s="61">
        <f t="shared" si="237"/>
        <v>4</v>
      </c>
      <c r="AG239" s="40">
        <f t="shared" si="250"/>
        <v>0</v>
      </c>
      <c r="AH239" s="40">
        <f t="shared" si="251"/>
        <v>0</v>
      </c>
      <c r="AI239" s="44">
        <f t="shared" si="252"/>
        <v>1758.7109805970629</v>
      </c>
      <c r="AJ239" s="35">
        <f t="shared" si="238"/>
        <v>4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475.82840096350054</v>
      </c>
      <c r="AL239" s="57">
        <v>0</v>
      </c>
      <c r="AM239" s="57">
        <v>0</v>
      </c>
      <c r="AN239" s="61">
        <f t="shared" si="239"/>
        <v>4</v>
      </c>
      <c r="AO239" s="40">
        <f t="shared" si="253"/>
        <v>0</v>
      </c>
      <c r="AP239" s="40">
        <f t="shared" si="254"/>
        <v>0</v>
      </c>
      <c r="AQ239" s="44">
        <f t="shared" si="255"/>
        <v>1903.3136038540022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6</v>
      </c>
      <c r="G240" s="35">
        <f>SUMIFS(WORKING!$AC$3:$AC$6802,WORKING!$A$3:$A$6802,Results!$D$3,WORKING!$B$3:$B$6802,Results!A240,WORKING!$C$3:$C$6802,Results!C240)/1000</f>
        <v>2044.4792199999999</v>
      </c>
      <c r="H240" s="35">
        <f t="shared" si="240"/>
        <v>340.74653666666666</v>
      </c>
      <c r="I240" s="187">
        <v>5</v>
      </c>
      <c r="J240" s="212">
        <v>2165</v>
      </c>
      <c r="K240" s="217">
        <f t="shared" si="241"/>
        <v>433</v>
      </c>
      <c r="L240" s="34">
        <f t="shared" si="234"/>
        <v>5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471.7862461679178</v>
      </c>
      <c r="N240" s="57">
        <v>0</v>
      </c>
      <c r="O240" s="57">
        <v>0</v>
      </c>
      <c r="P240" s="61">
        <f t="shared" si="235"/>
        <v>5</v>
      </c>
      <c r="Q240" s="40">
        <f t="shared" si="242"/>
        <v>0</v>
      </c>
      <c r="R240" s="40">
        <f t="shared" si="243"/>
        <v>0</v>
      </c>
      <c r="S240" s="44">
        <f t="shared" si="244"/>
        <v>2358.9312308395888</v>
      </c>
      <c r="T240" s="35">
        <f t="shared" si="245"/>
        <v>5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512.03842937143531</v>
      </c>
      <c r="V240" s="57">
        <v>0</v>
      </c>
      <c r="W240" s="57">
        <v>0</v>
      </c>
      <c r="X240" s="61">
        <f t="shared" si="236"/>
        <v>5</v>
      </c>
      <c r="Y240" s="40">
        <f t="shared" si="246"/>
        <v>0</v>
      </c>
      <c r="Z240" s="40">
        <f t="shared" si="247"/>
        <v>0</v>
      </c>
      <c r="AA240" s="44">
        <f t="shared" si="248"/>
        <v>2560.1921468571763</v>
      </c>
      <c r="AB240" s="35">
        <f t="shared" si="249"/>
        <v>5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555.20559605465974</v>
      </c>
      <c r="AD240" s="57">
        <v>0</v>
      </c>
      <c r="AE240" s="57">
        <v>0</v>
      </c>
      <c r="AF240" s="61">
        <f t="shared" si="237"/>
        <v>5</v>
      </c>
      <c r="AG240" s="40">
        <f t="shared" si="250"/>
        <v>0</v>
      </c>
      <c r="AH240" s="40">
        <f t="shared" si="251"/>
        <v>0</v>
      </c>
      <c r="AI240" s="44">
        <f t="shared" si="252"/>
        <v>2776.0279802732985</v>
      </c>
      <c r="AJ240" s="35">
        <f t="shared" si="238"/>
        <v>5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600.88583585008143</v>
      </c>
      <c r="AL240" s="57">
        <v>0</v>
      </c>
      <c r="AM240" s="57">
        <v>0</v>
      </c>
      <c r="AN240" s="61">
        <f t="shared" si="239"/>
        <v>5</v>
      </c>
      <c r="AO240" s="40">
        <f t="shared" si="253"/>
        <v>0</v>
      </c>
      <c r="AP240" s="40">
        <f t="shared" si="254"/>
        <v>0</v>
      </c>
      <c r="AQ240" s="44">
        <f t="shared" si="255"/>
        <v>3004.4291792504073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28</v>
      </c>
      <c r="G241" s="35">
        <f>SUMIFS(WORKING!$AC$3:$AC$6802,WORKING!$A$3:$A$6802,Results!$D$3,WORKING!$B$3:$B$6802,Results!A241,WORKING!$C$3:$C$6802,Results!C241)/1000</f>
        <v>14079.48021</v>
      </c>
      <c r="H241" s="35">
        <f t="shared" si="240"/>
        <v>502.83857892857139</v>
      </c>
      <c r="I241" s="187">
        <v>28</v>
      </c>
      <c r="J241" s="212">
        <v>15540</v>
      </c>
      <c r="K241" s="217">
        <f t="shared" si="241"/>
        <v>555</v>
      </c>
      <c r="L241" s="34">
        <f t="shared" si="234"/>
        <v>28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604.98329694149459</v>
      </c>
      <c r="N241" s="57">
        <v>0</v>
      </c>
      <c r="O241" s="57">
        <v>0</v>
      </c>
      <c r="P241" s="61">
        <f t="shared" si="235"/>
        <v>28</v>
      </c>
      <c r="Q241" s="40">
        <f t="shared" si="242"/>
        <v>0</v>
      </c>
      <c r="R241" s="40">
        <f t="shared" si="243"/>
        <v>0</v>
      </c>
      <c r="S241" s="44">
        <f t="shared" si="244"/>
        <v>16939.532314361848</v>
      </c>
      <c r="T241" s="35">
        <f t="shared" si="245"/>
        <v>28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656.68181505978816</v>
      </c>
      <c r="V241" s="57">
        <v>0</v>
      </c>
      <c r="W241" s="57">
        <v>0</v>
      </c>
      <c r="X241" s="61">
        <f t="shared" si="236"/>
        <v>28</v>
      </c>
      <c r="Y241" s="40">
        <f t="shared" si="246"/>
        <v>0</v>
      </c>
      <c r="Z241" s="40">
        <f t="shared" si="247"/>
        <v>0</v>
      </c>
      <c r="AA241" s="44">
        <f t="shared" si="248"/>
        <v>18387.090821674068</v>
      </c>
      <c r="AB241" s="35">
        <f t="shared" si="249"/>
        <v>28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712.13220772976763</v>
      </c>
      <c r="AD241" s="57">
        <v>0</v>
      </c>
      <c r="AE241" s="57">
        <v>0</v>
      </c>
      <c r="AF241" s="61">
        <f t="shared" si="237"/>
        <v>28</v>
      </c>
      <c r="AG241" s="40">
        <f t="shared" si="250"/>
        <v>0</v>
      </c>
      <c r="AH241" s="40">
        <f t="shared" si="251"/>
        <v>0</v>
      </c>
      <c r="AI241" s="44">
        <f t="shared" si="252"/>
        <v>19939.701816433495</v>
      </c>
      <c r="AJ241" s="35">
        <f t="shared" si="238"/>
        <v>28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770.82038500504484</v>
      </c>
      <c r="AL241" s="57">
        <v>0</v>
      </c>
      <c r="AM241" s="57">
        <v>0</v>
      </c>
      <c r="AN241" s="61">
        <f t="shared" si="239"/>
        <v>28</v>
      </c>
      <c r="AO241" s="40">
        <f t="shared" si="253"/>
        <v>0</v>
      </c>
      <c r="AP241" s="40">
        <f t="shared" si="254"/>
        <v>0</v>
      </c>
      <c r="AQ241" s="44">
        <f t="shared" si="255"/>
        <v>21582.970780141255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5</v>
      </c>
      <c r="G242" s="35">
        <f>SUMIFS(WORKING!$AC$3:$AC$6802,WORKING!$A$3:$A$6802,Results!$D$3,WORKING!$B$3:$B$6802,Results!A242,WORKING!$C$3:$C$6802,Results!C242)/1000</f>
        <v>3787.9135200000001</v>
      </c>
      <c r="H242" s="35">
        <f t="shared" si="240"/>
        <v>757.58270400000004</v>
      </c>
      <c r="I242" s="187">
        <v>5</v>
      </c>
      <c r="J242" s="212">
        <v>3220</v>
      </c>
      <c r="K242" s="217">
        <f t="shared" si="241"/>
        <v>644</v>
      </c>
      <c r="L242" s="34">
        <f t="shared" si="234"/>
        <v>5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702.82802885655269</v>
      </c>
      <c r="N242" s="57">
        <v>0</v>
      </c>
      <c r="O242" s="57">
        <v>0</v>
      </c>
      <c r="P242" s="61">
        <f t="shared" si="235"/>
        <v>5</v>
      </c>
      <c r="Q242" s="40">
        <f t="shared" si="242"/>
        <v>0</v>
      </c>
      <c r="R242" s="40">
        <f t="shared" si="243"/>
        <v>0</v>
      </c>
      <c r="S242" s="44">
        <f t="shared" si="244"/>
        <v>3514.1401442827637</v>
      </c>
      <c r="T242" s="35">
        <f t="shared" si="245"/>
        <v>5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762.75275464775552</v>
      </c>
      <c r="V242" s="57">
        <v>0</v>
      </c>
      <c r="W242" s="57">
        <v>0</v>
      </c>
      <c r="X242" s="61">
        <f t="shared" si="236"/>
        <v>5</v>
      </c>
      <c r="Y242" s="40">
        <f t="shared" si="246"/>
        <v>0</v>
      </c>
      <c r="Z242" s="40">
        <f t="shared" si="247"/>
        <v>0</v>
      </c>
      <c r="AA242" s="44">
        <f t="shared" si="248"/>
        <v>3813.7637732387775</v>
      </c>
      <c r="AB242" s="35">
        <f t="shared" si="249"/>
        <v>5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827.01316714296217</v>
      </c>
      <c r="AD242" s="57">
        <v>0</v>
      </c>
      <c r="AE242" s="57">
        <v>0</v>
      </c>
      <c r="AF242" s="61">
        <f t="shared" si="237"/>
        <v>5</v>
      </c>
      <c r="AG242" s="40">
        <f t="shared" si="250"/>
        <v>0</v>
      </c>
      <c r="AH242" s="40">
        <f t="shared" si="251"/>
        <v>0</v>
      </c>
      <c r="AI242" s="44">
        <f t="shared" si="252"/>
        <v>4135.0658357148113</v>
      </c>
      <c r="AJ242" s="35">
        <f t="shared" si="238"/>
        <v>5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895.00977335297432</v>
      </c>
      <c r="AL242" s="57">
        <v>0</v>
      </c>
      <c r="AM242" s="57">
        <v>0</v>
      </c>
      <c r="AN242" s="61">
        <f t="shared" si="239"/>
        <v>5</v>
      </c>
      <c r="AO242" s="40">
        <f t="shared" si="253"/>
        <v>0</v>
      </c>
      <c r="AP242" s="40">
        <f t="shared" si="254"/>
        <v>0</v>
      </c>
      <c r="AQ242" s="44">
        <f t="shared" si="255"/>
        <v>4475.0488667648715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8</v>
      </c>
      <c r="G243" s="35">
        <f>SUMIFS(WORKING!$AC$3:$AC$6802,WORKING!$A$3:$A$6802,Results!$D$3,WORKING!$B$3:$B$6802,Results!A243,WORKING!$C$3:$C$6802,Results!C243)/1000</f>
        <v>6380.6836299999995</v>
      </c>
      <c r="H243" s="35">
        <f t="shared" si="240"/>
        <v>797.58545374999994</v>
      </c>
      <c r="I243" s="187">
        <v>9</v>
      </c>
      <c r="J243" s="212">
        <v>7128</v>
      </c>
      <c r="K243" s="217">
        <f t="shared" si="241"/>
        <v>792</v>
      </c>
      <c r="L243" s="34">
        <f t="shared" si="234"/>
        <v>9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864.58043114872089</v>
      </c>
      <c r="N243" s="57">
        <v>0</v>
      </c>
      <c r="O243" s="57">
        <v>0</v>
      </c>
      <c r="P243" s="61">
        <f t="shared" si="235"/>
        <v>9</v>
      </c>
      <c r="Q243" s="40">
        <f t="shared" si="242"/>
        <v>0</v>
      </c>
      <c r="R243" s="40">
        <f t="shared" si="243"/>
        <v>0</v>
      </c>
      <c r="S243" s="44">
        <f t="shared" si="244"/>
        <v>7781.223880338488</v>
      </c>
      <c r="T243" s="35">
        <f t="shared" si="245"/>
        <v>9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938.54938143056938</v>
      </c>
      <c r="V243" s="57">
        <v>0</v>
      </c>
      <c r="W243" s="57">
        <v>0</v>
      </c>
      <c r="X243" s="61">
        <f t="shared" si="236"/>
        <v>9</v>
      </c>
      <c r="Y243" s="40">
        <f t="shared" si="246"/>
        <v>0</v>
      </c>
      <c r="Z243" s="40">
        <f t="shared" si="247"/>
        <v>0</v>
      </c>
      <c r="AA243" s="44">
        <f t="shared" si="248"/>
        <v>8446.9444328751251</v>
      </c>
      <c r="AB243" s="35">
        <f t="shared" si="249"/>
        <v>9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1017.8945325024969</v>
      </c>
      <c r="AD243" s="57">
        <v>0</v>
      </c>
      <c r="AE243" s="57">
        <v>0</v>
      </c>
      <c r="AF243" s="61">
        <f t="shared" si="237"/>
        <v>9</v>
      </c>
      <c r="AG243" s="40">
        <f t="shared" si="250"/>
        <v>0</v>
      </c>
      <c r="AH243" s="40">
        <f t="shared" si="251"/>
        <v>0</v>
      </c>
      <c r="AI243" s="44">
        <f t="shared" si="252"/>
        <v>9161.050792522472</v>
      </c>
      <c r="AJ243" s="35">
        <f t="shared" si="238"/>
        <v>9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1101.8821547935854</v>
      </c>
      <c r="AL243" s="57">
        <v>0</v>
      </c>
      <c r="AM243" s="57">
        <v>0</v>
      </c>
      <c r="AN243" s="61">
        <f t="shared" si="239"/>
        <v>9</v>
      </c>
      <c r="AO243" s="40">
        <f t="shared" si="253"/>
        <v>0</v>
      </c>
      <c r="AP243" s="40">
        <f t="shared" si="254"/>
        <v>0</v>
      </c>
      <c r="AQ243" s="44">
        <f t="shared" si="255"/>
        <v>9916.9393931422692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11</v>
      </c>
      <c r="G244" s="35">
        <f>SUMIFS(WORKING!$AC$3:$AC$6802,WORKING!$A$3:$A$6802,Results!$D$3,WORKING!$B$3:$B$6802,Results!A244,WORKING!$C$3:$C$6802,Results!C244)/1000</f>
        <v>10831.475700000001</v>
      </c>
      <c r="H244" s="35">
        <f t="shared" si="240"/>
        <v>984.67960909090914</v>
      </c>
      <c r="I244" s="187">
        <v>10</v>
      </c>
      <c r="J244" s="212">
        <v>9168</v>
      </c>
      <c r="K244" s="217">
        <f t="shared" si="241"/>
        <v>916.8</v>
      </c>
      <c r="L244" s="34">
        <f t="shared" si="234"/>
        <v>10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960.57552989810608</v>
      </c>
      <c r="N244" s="57">
        <v>0</v>
      </c>
      <c r="O244" s="57">
        <v>0</v>
      </c>
      <c r="P244" s="61">
        <f t="shared" si="235"/>
        <v>10</v>
      </c>
      <c r="Q244" s="40">
        <f t="shared" si="242"/>
        <v>0</v>
      </c>
      <c r="R244" s="40">
        <f t="shared" si="243"/>
        <v>0</v>
      </c>
      <c r="S244" s="44">
        <f t="shared" si="244"/>
        <v>9605.7552989810611</v>
      </c>
      <c r="T244" s="35">
        <f t="shared" si="245"/>
        <v>10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1032.7470835438482</v>
      </c>
      <c r="V244" s="57">
        <v>0</v>
      </c>
      <c r="W244" s="57">
        <v>0</v>
      </c>
      <c r="X244" s="61">
        <f t="shared" si="236"/>
        <v>10</v>
      </c>
      <c r="Y244" s="40">
        <f t="shared" si="246"/>
        <v>0</v>
      </c>
      <c r="Z244" s="40">
        <f t="shared" si="247"/>
        <v>0</v>
      </c>
      <c r="AA244" s="44">
        <f t="shared" si="248"/>
        <v>10327.470835438482</v>
      </c>
      <c r="AB244" s="35">
        <f t="shared" si="249"/>
        <v>10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1109.2936583900369</v>
      </c>
      <c r="AD244" s="57">
        <v>0</v>
      </c>
      <c r="AE244" s="57">
        <v>0</v>
      </c>
      <c r="AF244" s="61">
        <f t="shared" si="237"/>
        <v>10</v>
      </c>
      <c r="AG244" s="40">
        <f t="shared" si="250"/>
        <v>0</v>
      </c>
      <c r="AH244" s="40">
        <f t="shared" si="251"/>
        <v>0</v>
      </c>
      <c r="AI244" s="44">
        <f t="shared" si="252"/>
        <v>11092.936583900369</v>
      </c>
      <c r="AJ244" s="35">
        <f t="shared" si="238"/>
        <v>10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1189.2635558344839</v>
      </c>
      <c r="AL244" s="57">
        <v>0</v>
      </c>
      <c r="AM244" s="57">
        <v>0</v>
      </c>
      <c r="AN244" s="61">
        <f t="shared" si="239"/>
        <v>10</v>
      </c>
      <c r="AO244" s="40">
        <f t="shared" si="253"/>
        <v>0</v>
      </c>
      <c r="AP244" s="40">
        <f t="shared" si="254"/>
        <v>0</v>
      </c>
      <c r="AQ244" s="44">
        <f t="shared" si="255"/>
        <v>11892.635558344839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4</v>
      </c>
      <c r="G245" s="35">
        <f>SUMIFS(WORKING!$AC$3:$AC$6802,WORKING!$A$3:$A$6802,Results!$D$3,WORKING!$B$3:$B$6802,Results!A245,WORKING!$C$3:$C$6802,Results!C245)/1000</f>
        <v>3508.1731900000004</v>
      </c>
      <c r="H245" s="35">
        <f t="shared" si="240"/>
        <v>877.04329750000011</v>
      </c>
      <c r="I245" s="187">
        <v>4</v>
      </c>
      <c r="J245" s="212">
        <v>4200</v>
      </c>
      <c r="K245" s="217">
        <f t="shared" si="241"/>
        <v>1050</v>
      </c>
      <c r="L245" s="34">
        <f t="shared" si="234"/>
        <v>4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1100.060633806236</v>
      </c>
      <c r="N245" s="57">
        <v>0</v>
      </c>
      <c r="O245" s="57">
        <v>0</v>
      </c>
      <c r="P245" s="61">
        <f t="shared" si="235"/>
        <v>4</v>
      </c>
      <c r="Q245" s="40">
        <f t="shared" si="242"/>
        <v>0</v>
      </c>
      <c r="R245" s="40">
        <f t="shared" si="243"/>
        <v>0</v>
      </c>
      <c r="S245" s="44">
        <f t="shared" si="244"/>
        <v>4400.2425352249438</v>
      </c>
      <c r="T245" s="35">
        <f t="shared" si="245"/>
        <v>4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1182.6316341061065</v>
      </c>
      <c r="V245" s="57">
        <v>0</v>
      </c>
      <c r="W245" s="57">
        <v>0</v>
      </c>
      <c r="X245" s="61">
        <f t="shared" si="236"/>
        <v>4</v>
      </c>
      <c r="Y245" s="40">
        <f t="shared" si="246"/>
        <v>0</v>
      </c>
      <c r="Z245" s="40">
        <f t="shared" si="247"/>
        <v>0</v>
      </c>
      <c r="AA245" s="44">
        <f t="shared" si="248"/>
        <v>4730.526536424426</v>
      </c>
      <c r="AB245" s="35">
        <f t="shared" si="249"/>
        <v>4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1270.2010130157544</v>
      </c>
      <c r="AD245" s="57">
        <v>0</v>
      </c>
      <c r="AE245" s="57">
        <v>0</v>
      </c>
      <c r="AF245" s="61">
        <f t="shared" si="237"/>
        <v>4</v>
      </c>
      <c r="AG245" s="40">
        <f t="shared" si="250"/>
        <v>0</v>
      </c>
      <c r="AH245" s="40">
        <f t="shared" si="251"/>
        <v>0</v>
      </c>
      <c r="AI245" s="44">
        <f t="shared" si="252"/>
        <v>5080.8040520630175</v>
      </c>
      <c r="AJ245" s="35">
        <f t="shared" si="238"/>
        <v>4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1361.67807581384</v>
      </c>
      <c r="AL245" s="57">
        <v>0</v>
      </c>
      <c r="AM245" s="57">
        <v>0</v>
      </c>
      <c r="AN245" s="61">
        <f t="shared" si="239"/>
        <v>4</v>
      </c>
      <c r="AO245" s="40">
        <f t="shared" si="253"/>
        <v>0</v>
      </c>
      <c r="AP245" s="40">
        <f t="shared" si="254"/>
        <v>0</v>
      </c>
      <c r="AQ245" s="44">
        <f t="shared" si="255"/>
        <v>5446.71230325536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1</v>
      </c>
      <c r="G246" s="35">
        <f>SUMIFS(WORKING!$AC$3:$AC$6802,WORKING!$A$3:$A$6802,Results!$D$3,WORKING!$B$3:$B$6802,Results!A246,WORKING!$C$3:$C$6802,Results!C246)/1000</f>
        <v>1339.4774300000001</v>
      </c>
      <c r="H246" s="35">
        <f t="shared" si="240"/>
        <v>1339.4774300000001</v>
      </c>
      <c r="I246" s="187">
        <v>1</v>
      </c>
      <c r="J246" s="212">
        <v>1306</v>
      </c>
      <c r="K246" s="217">
        <f t="shared" si="241"/>
        <v>1306</v>
      </c>
      <c r="L246" s="34">
        <f t="shared" si="234"/>
        <v>1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1368.9128137215203</v>
      </c>
      <c r="N246" s="57">
        <v>0</v>
      </c>
      <c r="O246" s="57">
        <v>0</v>
      </c>
      <c r="P246" s="61">
        <f t="shared" si="235"/>
        <v>1</v>
      </c>
      <c r="Q246" s="40">
        <f t="shared" si="242"/>
        <v>0</v>
      </c>
      <c r="R246" s="40">
        <f t="shared" si="243"/>
        <v>0</v>
      </c>
      <c r="S246" s="44">
        <f t="shared" si="244"/>
        <v>1368.9128137215203</v>
      </c>
      <c r="T246" s="35">
        <f t="shared" si="245"/>
        <v>1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1472.3597759875324</v>
      </c>
      <c r="V246" s="57">
        <v>0</v>
      </c>
      <c r="W246" s="57">
        <v>0</v>
      </c>
      <c r="X246" s="61">
        <f t="shared" si="236"/>
        <v>1</v>
      </c>
      <c r="Y246" s="40">
        <f t="shared" si="246"/>
        <v>0</v>
      </c>
      <c r="Z246" s="40">
        <f t="shared" si="247"/>
        <v>0</v>
      </c>
      <c r="AA246" s="44">
        <f t="shared" si="248"/>
        <v>1472.3597759875324</v>
      </c>
      <c r="AB246" s="35">
        <f t="shared" si="249"/>
        <v>1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1582.130105758938</v>
      </c>
      <c r="AD246" s="57">
        <v>0</v>
      </c>
      <c r="AE246" s="57">
        <v>0</v>
      </c>
      <c r="AF246" s="61">
        <f t="shared" si="237"/>
        <v>1</v>
      </c>
      <c r="AG246" s="40">
        <f t="shared" si="250"/>
        <v>0</v>
      </c>
      <c r="AH246" s="40">
        <f t="shared" si="251"/>
        <v>0</v>
      </c>
      <c r="AI246" s="44">
        <f t="shared" si="252"/>
        <v>1582.130105758938</v>
      </c>
      <c r="AJ246" s="35">
        <f t="shared" si="238"/>
        <v>1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1696.8735189798147</v>
      </c>
      <c r="AL246" s="57">
        <v>0</v>
      </c>
      <c r="AM246" s="57">
        <v>0</v>
      </c>
      <c r="AN246" s="61">
        <f t="shared" si="239"/>
        <v>1</v>
      </c>
      <c r="AO246" s="40">
        <f t="shared" si="253"/>
        <v>0</v>
      </c>
      <c r="AP246" s="40">
        <f t="shared" si="254"/>
        <v>0</v>
      </c>
      <c r="AQ246" s="44">
        <f t="shared" si="255"/>
        <v>1696.8735189798147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88</v>
      </c>
      <c r="G252" s="41">
        <f>SUM(G232:G251)</f>
        <v>48321.933070000006</v>
      </c>
      <c r="H252" s="41">
        <f>IFERROR(G252/F252,0)</f>
        <v>549.11287579545467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87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48918</v>
      </c>
      <c r="K252" s="41">
        <f>IFERROR(J252/I252,"")</f>
        <v>562.27586206896547</v>
      </c>
      <c r="L252" s="41">
        <f>SUM(L232:L251)</f>
        <v>87</v>
      </c>
      <c r="M252" s="41">
        <f>IFERROR(S252/P252,0)</f>
        <v>605.79248840853165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87</v>
      </c>
      <c r="Q252" s="41">
        <f t="shared" si="256"/>
        <v>0</v>
      </c>
      <c r="R252" s="41">
        <f t="shared" si="256"/>
        <v>0</v>
      </c>
      <c r="S252" s="45">
        <f t="shared" si="256"/>
        <v>52703.94649154225</v>
      </c>
      <c r="T252" s="41">
        <f t="shared" si="256"/>
        <v>87</v>
      </c>
      <c r="U252" s="41">
        <f>IFERROR(AA252/X252,0)</f>
        <v>659.39752379786705</v>
      </c>
      <c r="V252" s="41">
        <f t="shared" ref="V252:AB252" si="257">SUM(V232:V251)</f>
        <v>0</v>
      </c>
      <c r="W252" s="41">
        <f t="shared" si="257"/>
        <v>1</v>
      </c>
      <c r="X252" s="41">
        <f t="shared" si="257"/>
        <v>86</v>
      </c>
      <c r="Y252" s="41">
        <f t="shared" si="257"/>
        <v>0</v>
      </c>
      <c r="Z252" s="41">
        <f t="shared" si="257"/>
        <v>-336.78860763760719</v>
      </c>
      <c r="AA252" s="45">
        <f t="shared" si="257"/>
        <v>56708.187046616564</v>
      </c>
      <c r="AB252" s="41">
        <f t="shared" si="257"/>
        <v>86</v>
      </c>
      <c r="AC252" s="41">
        <f>IFERROR(AI252/AF252,0)</f>
        <v>713.04319925908396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86</v>
      </c>
      <c r="AG252" s="41">
        <f t="shared" si="258"/>
        <v>0</v>
      </c>
      <c r="AH252" s="41">
        <f t="shared" si="258"/>
        <v>0</v>
      </c>
      <c r="AI252" s="45">
        <f t="shared" si="258"/>
        <v>61321.715136281222</v>
      </c>
      <c r="AJ252" s="41">
        <f t="shared" si="258"/>
        <v>86</v>
      </c>
      <c r="AK252" s="41">
        <f>IFERROR(AQ252/AN252,0)</f>
        <v>769.62110857789946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86</v>
      </c>
      <c r="AO252" s="41">
        <f t="shared" si="259"/>
        <v>0</v>
      </c>
      <c r="AP252" s="41">
        <f t="shared" si="259"/>
        <v>0</v>
      </c>
      <c r="AQ252" s="45">
        <f t="shared" si="259"/>
        <v>66187.415337699349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55427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58960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62379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67119.804000000004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2723.0535084577496</v>
      </c>
      <c r="T254" s="39"/>
      <c r="U254" s="39"/>
      <c r="V254" s="53"/>
      <c r="W254" s="53"/>
      <c r="X254" s="110"/>
      <c r="Y254" s="39"/>
      <c r="Z254" s="39"/>
      <c r="AA254" s="54">
        <f>AA253-AA252</f>
        <v>2251.8129533834363</v>
      </c>
      <c r="AB254" s="39"/>
      <c r="AC254" s="53"/>
      <c r="AD254" s="53"/>
      <c r="AE254" s="110"/>
      <c r="AF254" s="39"/>
      <c r="AG254" s="39"/>
      <c r="AH254" s="39"/>
      <c r="AI254" s="54">
        <f>AI253-AI252</f>
        <v>1057.2848637187781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932.38866230065469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tsfepiYqVJ5ohaeVBN2tKtxx0967NH95SvuCSqMin5IZhFPTE82LzcvvxrF0uXuGxg/vwf6WtEsytmDkyNEbkg==" saltValue="q96J4f27mN0OAL0f/Iq0W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Environmental Affairs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27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42671.507550231479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NAT_HRBP__42671.5075502315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HRBP-Vote27.xlsx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sharepoint/v3"/>
    <ds:schemaRef ds:uri="df7ca258-5e24-45de-bd31-dbc76bc6765a"/>
    <ds:schemaRef ds:uri="http://schemas.microsoft.com/office/2006/documentManagement/types"/>
    <ds:schemaRef ds:uri="http://purl.org/dc/terms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